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X:\Radio\ילנה גולדנברג\"/>
    </mc:Choice>
  </mc:AlternateContent>
  <xr:revisionPtr revIDLastSave="0" documentId="8_{CE2D559D-B391-4F48-9946-87BE1C1B5D7A}" xr6:coauthVersionLast="45" xr6:coauthVersionMax="45" xr10:uidLastSave="{00000000-0000-0000-0000-000000000000}"/>
  <workbookProtection workbookAlgorithmName="SHA-512" workbookHashValue="N8ExNf8HJM8Az6KSiH8KH+DZNzura6WEBx/O96MfgyJEs5/TtazTwenf9gbnYvIamW7hYIcUel/feBxdeOtiuA==" workbookSaltValue="69vfTbyko3J/k0658F2igg==" workbookSpinCount="100000" lockStructure="1"/>
  <bookViews>
    <workbookView xWindow="-120" yWindow="-120" windowWidth="20730" windowHeight="11160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externalReferences>
    <externalReference r:id="rId7"/>
  </externalReferences>
  <definedNames>
    <definedName name="ф1">בקרה!#REF!</definedName>
    <definedName name="יחידות_במאי_שטח">[1]הגדרות!$AA$2:$AA$4</definedName>
    <definedName name="יחידות_כמות_במאים">[1]הגדרות!$K$2:$K$3</definedName>
    <definedName name="יחידות_כמות_גלובלי">[1]הגדרות!$G$2</definedName>
    <definedName name="יחידות_כמות_מפיקים">[1]הגדרות!#REF!</definedName>
    <definedName name="יחידות_כמות_ע_הפקה">[1]הגדרות!$M$2:$M$3</definedName>
    <definedName name="יחידות_כמות_פרופס">[1]הגדרות!$S$2</definedName>
    <definedName name="יחידות_כמות_צוות">[1]הגדרות!$O$2</definedName>
    <definedName name="יחידות_כמות_צוות_הפקה">[1]הגדרות!$AC$2:$AC$3</definedName>
    <definedName name="יחידות_כמות_ציוד_צילום">[1]הגדרות!$AE$2:$AE$5</definedName>
    <definedName name="יחידות_כמות_תקורות">[1]הגדרות!$U$2:$U$3</definedName>
    <definedName name="יחידות_מידה_הלבשה">#REF!</definedName>
    <definedName name="יחידות_מידה_טיסות">הגדרות!$AI$2</definedName>
    <definedName name="יחידות_מידה_שחקנים">הגדרות!$AG$2:$AG$4</definedName>
    <definedName name="יחיודת_כמות_שונות_צילום">[1]הגדרות!$Q$2:$Q$3</definedName>
    <definedName name="סכום_₪">#REF!</definedName>
    <definedName name="סעיף_תקציבי">#REF!</definedName>
    <definedName name="תקופות_הפקה_רשימה">[1]הגדרות!$C$2:$C$4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L27" i="1"/>
  <c r="M27" i="1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63" i="3"/>
  <c r="C64" i="3"/>
  <c r="C65" i="3"/>
  <c r="C66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M2" i="3"/>
  <c r="M3" i="3" s="1"/>
  <c r="M4" i="3" s="1"/>
  <c r="M5" i="3" s="1"/>
  <c r="M6" i="3" s="1"/>
  <c r="M7" i="3" s="1"/>
  <c r="M8" i="3" s="1"/>
  <c r="M9" i="3" s="1"/>
  <c r="M10" i="3" s="1"/>
  <c r="M11" i="3" s="1"/>
  <c r="M12" i="3" s="1"/>
  <c r="M13" i="3" l="1"/>
  <c r="M14" i="3" s="1"/>
  <c r="M15" i="3" s="1"/>
  <c r="M16" i="3" s="1"/>
  <c r="M17" i="3" s="1"/>
  <c r="B18" i="1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D59" i="3"/>
  <c r="D55" i="3"/>
  <c r="D51" i="3"/>
  <c r="D47" i="3"/>
  <c r="D43" i="3"/>
  <c r="D39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31" i="3"/>
  <c r="D30" i="3"/>
  <c r="D27" i="3"/>
  <c r="D26" i="3"/>
  <c r="D23" i="3"/>
  <c r="D22" i="3"/>
  <c r="D19" i="3"/>
  <c r="D18" i="3"/>
  <c r="D15" i="3"/>
  <c r="D14" i="3"/>
  <c r="D11" i="3"/>
  <c r="D10" i="3"/>
  <c r="D7" i="3"/>
  <c r="D6" i="3"/>
  <c r="D5" i="3"/>
  <c r="D2" i="3"/>
  <c r="G11" i="4"/>
  <c r="G10" i="4"/>
  <c r="G9" i="4"/>
  <c r="D149" i="3" s="1"/>
  <c r="G8" i="4"/>
  <c r="D129" i="3" s="1"/>
  <c r="G7" i="4"/>
  <c r="D119" i="3" s="1"/>
  <c r="G6" i="4"/>
  <c r="D89" i="3" s="1"/>
  <c r="G5" i="4"/>
  <c r="D36" i="3" s="1"/>
  <c r="G4" i="4"/>
  <c r="G3" i="4"/>
  <c r="D58" i="3" s="1"/>
  <c r="G2" i="4"/>
  <c r="D29" i="3" s="1"/>
  <c r="D33" i="3" l="1"/>
  <c r="D4" i="3"/>
  <c r="D16" i="3"/>
  <c r="D24" i="3"/>
  <c r="D34" i="3"/>
  <c r="D40" i="3"/>
  <c r="D44" i="3"/>
  <c r="D48" i="3"/>
  <c r="D52" i="3"/>
  <c r="D56" i="3"/>
  <c r="D60" i="3"/>
  <c r="D62" i="3"/>
  <c r="D66" i="3"/>
  <c r="D70" i="3"/>
  <c r="D74" i="3"/>
  <c r="D78" i="3"/>
  <c r="D82" i="3"/>
  <c r="D86" i="3"/>
  <c r="D90" i="3"/>
  <c r="D92" i="3"/>
  <c r="D96" i="3"/>
  <c r="D100" i="3"/>
  <c r="D104" i="3"/>
  <c r="D108" i="3"/>
  <c r="D112" i="3"/>
  <c r="D116" i="3"/>
  <c r="D120" i="3"/>
  <c r="D122" i="3"/>
  <c r="D126" i="3"/>
  <c r="D130" i="3"/>
  <c r="D134" i="3"/>
  <c r="D138" i="3"/>
  <c r="D142" i="3"/>
  <c r="D146" i="3"/>
  <c r="D150" i="3"/>
  <c r="D8" i="3"/>
  <c r="B17" i="1" s="1"/>
  <c r="D12" i="3"/>
  <c r="D20" i="3"/>
  <c r="D28" i="3"/>
  <c r="D3" i="3"/>
  <c r="D9" i="3"/>
  <c r="D13" i="3"/>
  <c r="D17" i="3"/>
  <c r="D21" i="3"/>
  <c r="D25" i="3"/>
  <c r="D35" i="3"/>
  <c r="D37" i="3"/>
  <c r="D41" i="3"/>
  <c r="D45" i="3"/>
  <c r="D49" i="3"/>
  <c r="D53" i="3"/>
  <c r="D57" i="3"/>
  <c r="D61" i="3"/>
  <c r="D63" i="3"/>
  <c r="D67" i="3"/>
  <c r="D71" i="3"/>
  <c r="D75" i="3"/>
  <c r="D79" i="3"/>
  <c r="D83" i="3"/>
  <c r="D87" i="3"/>
  <c r="D91" i="3"/>
  <c r="D93" i="3"/>
  <c r="D97" i="3"/>
  <c r="D101" i="3"/>
  <c r="D105" i="3"/>
  <c r="D109" i="3"/>
  <c r="D113" i="3"/>
  <c r="D117" i="3"/>
  <c r="D121" i="3"/>
  <c r="D123" i="3"/>
  <c r="D127" i="3"/>
  <c r="D131" i="3"/>
  <c r="D135" i="3"/>
  <c r="D139" i="3"/>
  <c r="D143" i="3"/>
  <c r="D147" i="3"/>
  <c r="D151" i="3"/>
  <c r="D32" i="3"/>
  <c r="D38" i="3"/>
  <c r="D42" i="3"/>
  <c r="D46" i="3"/>
  <c r="D50" i="3"/>
  <c r="D54" i="3"/>
  <c r="D64" i="3"/>
  <c r="D68" i="3"/>
  <c r="D72" i="3"/>
  <c r="D76" i="3"/>
  <c r="D80" i="3"/>
  <c r="D84" i="3"/>
  <c r="D88" i="3"/>
  <c r="D94" i="3"/>
  <c r="D98" i="3"/>
  <c r="D102" i="3"/>
  <c r="D106" i="3"/>
  <c r="D110" i="3"/>
  <c r="D114" i="3"/>
  <c r="D118" i="3"/>
  <c r="D124" i="3"/>
  <c r="D128" i="3"/>
  <c r="D132" i="3"/>
  <c r="D136" i="3"/>
  <c r="D140" i="3"/>
  <c r="D144" i="3"/>
  <c r="D148" i="3"/>
  <c r="D65" i="3"/>
  <c r="D69" i="3"/>
  <c r="D73" i="3"/>
  <c r="D77" i="3"/>
  <c r="D81" i="3"/>
  <c r="D85" i="3"/>
  <c r="D95" i="3"/>
  <c r="D99" i="3"/>
  <c r="D103" i="3"/>
  <c r="D107" i="3"/>
  <c r="D111" i="3"/>
  <c r="D115" i="3"/>
  <c r="D125" i="3"/>
  <c r="D133" i="3"/>
  <c r="D137" i="3"/>
  <c r="D141" i="3"/>
  <c r="D145" i="3"/>
  <c r="M18" i="3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B19" i="1"/>
  <c r="B43" i="1"/>
  <c r="K27" i="1"/>
  <c r="N27" i="1" s="1"/>
  <c r="O27" i="1" s="1"/>
  <c r="H28" i="1"/>
  <c r="I28" i="1" s="1"/>
  <c r="B33" i="1" l="1"/>
  <c r="B39" i="1"/>
  <c r="B36" i="1"/>
  <c r="B30" i="1"/>
  <c r="B22" i="1"/>
  <c r="B20" i="1"/>
  <c r="B31" i="1"/>
  <c r="B52" i="1"/>
  <c r="B38" i="1"/>
  <c r="B27" i="1"/>
  <c r="B53" i="1"/>
  <c r="B42" i="1"/>
  <c r="B50" i="1"/>
  <c r="B28" i="1"/>
  <c r="B25" i="1"/>
  <c r="B37" i="1"/>
  <c r="B51" i="1"/>
  <c r="B35" i="1"/>
  <c r="B32" i="1"/>
  <c r="B26" i="1"/>
  <c r="B24" i="1"/>
  <c r="B40" i="1"/>
  <c r="C9" i="6" l="1"/>
  <c r="L4" i="1"/>
  <c r="D152" i="3" l="1"/>
  <c r="C2" i="3"/>
  <c r="R50" i="3" l="1"/>
  <c r="R143" i="3"/>
  <c r="M20" i="1"/>
  <c r="Q152" i="3" l="1"/>
  <c r="P6" i="3"/>
  <c r="P57" i="3"/>
  <c r="P152" i="3"/>
  <c r="P50" i="3"/>
  <c r="Q52" i="3"/>
  <c r="R152" i="3"/>
  <c r="P60" i="3"/>
  <c r="R39" i="3"/>
  <c r="Q79" i="3"/>
  <c r="R125" i="3"/>
  <c r="Q146" i="3"/>
  <c r="R153" i="3"/>
  <c r="Q12" i="3"/>
  <c r="P42" i="3"/>
  <c r="Q85" i="3"/>
  <c r="Q11" i="3"/>
  <c r="P71" i="3"/>
  <c r="R90" i="3"/>
  <c r="R8" i="3"/>
  <c r="R13" i="3"/>
  <c r="Q50" i="3"/>
  <c r="S50" i="3" s="1"/>
  <c r="R14" i="3"/>
  <c r="Q140" i="3"/>
  <c r="P77" i="3"/>
  <c r="P151" i="3"/>
  <c r="R147" i="3"/>
  <c r="P45" i="3"/>
  <c r="P108" i="3"/>
  <c r="P127" i="3"/>
  <c r="R72" i="3"/>
  <c r="P9" i="3"/>
  <c r="Q48" i="3"/>
  <c r="P4" i="3"/>
  <c r="R149" i="3"/>
  <c r="R103" i="3"/>
  <c r="R122" i="3"/>
  <c r="P67" i="3"/>
  <c r="R93" i="3"/>
  <c r="Q14" i="3"/>
  <c r="Q37" i="3"/>
  <c r="R17" i="3"/>
  <c r="R63" i="3"/>
  <c r="P39" i="3"/>
  <c r="Q136" i="3"/>
  <c r="R105" i="3"/>
  <c r="Q148" i="3"/>
  <c r="P104" i="3"/>
  <c r="P103" i="3"/>
  <c r="Q70" i="3"/>
  <c r="Q40" i="3"/>
  <c r="Q15" i="3"/>
  <c r="R123" i="3"/>
  <c r="R118" i="3"/>
  <c r="Q100" i="3"/>
  <c r="R24" i="3"/>
  <c r="Q29" i="3"/>
  <c r="P122" i="3"/>
  <c r="P141" i="3"/>
  <c r="R86" i="3"/>
  <c r="R59" i="3"/>
  <c r="P35" i="3"/>
  <c r="P18" i="3"/>
  <c r="Q9" i="3"/>
  <c r="Q26" i="3"/>
  <c r="R46" i="3"/>
  <c r="R129" i="3"/>
  <c r="P89" i="3"/>
  <c r="Q131" i="3"/>
  <c r="Q89" i="3"/>
  <c r="P139" i="3"/>
  <c r="R64" i="3"/>
  <c r="P74" i="3"/>
  <c r="P20" i="3"/>
  <c r="Q130" i="3"/>
  <c r="Q111" i="3"/>
  <c r="P79" i="3"/>
  <c r="R85" i="3"/>
  <c r="R31" i="3"/>
  <c r="P153" i="3"/>
  <c r="P118" i="3"/>
  <c r="P137" i="3"/>
  <c r="R82" i="3"/>
  <c r="R32" i="3"/>
  <c r="R100" i="3"/>
  <c r="R148" i="3"/>
  <c r="P115" i="3"/>
  <c r="P11" i="3"/>
  <c r="R131" i="3"/>
  <c r="P47" i="3"/>
  <c r="Q53" i="3"/>
  <c r="Q69" i="3"/>
  <c r="R12" i="3"/>
  <c r="P51" i="3"/>
  <c r="Q51" i="3"/>
  <c r="Q34" i="3"/>
  <c r="Q75" i="3"/>
  <c r="Q93" i="3"/>
  <c r="P135" i="3"/>
  <c r="P66" i="3"/>
  <c r="Q81" i="3"/>
  <c r="P75" i="3"/>
  <c r="R23" i="3"/>
  <c r="P114" i="3"/>
  <c r="P59" i="3"/>
  <c r="P93" i="3"/>
  <c r="Q134" i="3"/>
  <c r="P107" i="3"/>
  <c r="Q56" i="3"/>
  <c r="R127" i="3"/>
  <c r="P15" i="3"/>
  <c r="Q45" i="3"/>
  <c r="R42" i="3"/>
  <c r="R62" i="3"/>
  <c r="P72" i="3"/>
  <c r="P14" i="3"/>
  <c r="R124" i="3"/>
  <c r="R102" i="3"/>
  <c r="R78" i="3"/>
  <c r="P34" i="3"/>
  <c r="R120" i="3"/>
  <c r="R19" i="3"/>
  <c r="P30" i="3"/>
  <c r="Q124" i="3"/>
  <c r="Q19" i="3"/>
  <c r="Q110" i="3"/>
  <c r="Q68" i="3"/>
  <c r="R3" i="3"/>
  <c r="R29" i="3"/>
  <c r="R48" i="3"/>
  <c r="Q64" i="3"/>
  <c r="Q126" i="3"/>
  <c r="R141" i="3"/>
  <c r="R137" i="3"/>
  <c r="R136" i="3"/>
  <c r="Q106" i="3"/>
  <c r="R10" i="3"/>
  <c r="P111" i="3"/>
  <c r="R52" i="3"/>
  <c r="P86" i="3"/>
  <c r="Q16" i="3"/>
  <c r="Q31" i="3"/>
  <c r="Q147" i="3"/>
  <c r="S147" i="3" s="1"/>
  <c r="Q135" i="3"/>
  <c r="R106" i="3"/>
  <c r="P31" i="3"/>
  <c r="R77" i="3"/>
  <c r="R43" i="3"/>
  <c r="P3" i="3"/>
  <c r="R37" i="3"/>
  <c r="R83" i="3"/>
  <c r="R117" i="3"/>
  <c r="R109" i="3"/>
  <c r="R108" i="3"/>
  <c r="P150" i="3"/>
  <c r="Q129" i="3"/>
  <c r="R92" i="3"/>
  <c r="P98" i="3"/>
  <c r="P48" i="3"/>
  <c r="Q120" i="3"/>
  <c r="Q91" i="3"/>
  <c r="Q87" i="3"/>
  <c r="Q60" i="3"/>
  <c r="Q6" i="3"/>
  <c r="Q112" i="3"/>
  <c r="P106" i="3"/>
  <c r="P125" i="3"/>
  <c r="R70" i="3"/>
  <c r="P100" i="3"/>
  <c r="Q36" i="3"/>
  <c r="Q59" i="3"/>
  <c r="Q57" i="3"/>
  <c r="R16" i="3"/>
  <c r="Q88" i="3"/>
  <c r="R116" i="3"/>
  <c r="R151" i="3"/>
  <c r="P97" i="3"/>
  <c r="P120" i="3"/>
  <c r="P119" i="3"/>
  <c r="R4" i="3"/>
  <c r="P27" i="3"/>
  <c r="Q47" i="3"/>
  <c r="R139" i="3"/>
  <c r="R134" i="3"/>
  <c r="R58" i="3"/>
  <c r="R65" i="3"/>
  <c r="R7" i="3"/>
  <c r="P148" i="3"/>
  <c r="P102" i="3"/>
  <c r="P121" i="3"/>
  <c r="Q22" i="3"/>
  <c r="R95" i="3"/>
  <c r="R18" i="3"/>
  <c r="Q138" i="3"/>
  <c r="R80" i="3"/>
  <c r="P36" i="3"/>
  <c r="Q143" i="3"/>
  <c r="S143" i="3" s="1"/>
  <c r="R6" i="3"/>
  <c r="P144" i="3"/>
  <c r="P117" i="3"/>
  <c r="Q66" i="3"/>
  <c r="Q28" i="3"/>
  <c r="Q3" i="3"/>
  <c r="R75" i="3"/>
  <c r="Q114" i="3"/>
  <c r="P149" i="3"/>
  <c r="P5" i="3"/>
  <c r="Q24" i="3"/>
  <c r="S24" i="3" s="1"/>
  <c r="R111" i="3"/>
  <c r="Q76" i="3"/>
  <c r="Q13" i="3"/>
  <c r="S13" i="3" s="1"/>
  <c r="R22" i="3"/>
  <c r="R99" i="3"/>
  <c r="R128" i="3"/>
  <c r="Q149" i="3"/>
  <c r="S149" i="3" s="1"/>
  <c r="R76" i="3"/>
  <c r="P32" i="3"/>
  <c r="Q127" i="3"/>
  <c r="S127" i="3" s="1"/>
  <c r="T127" i="3" s="1"/>
  <c r="U127" i="3" s="1"/>
  <c r="R97" i="3"/>
  <c r="Q144" i="3"/>
  <c r="P29" i="3"/>
  <c r="Q98" i="3"/>
  <c r="P19" i="3"/>
  <c r="Q43" i="3"/>
  <c r="S43" i="3" s="1"/>
  <c r="Q137" i="3"/>
  <c r="Q30" i="3"/>
  <c r="Q82" i="3"/>
  <c r="S82" i="3" s="1"/>
  <c r="Q35" i="3"/>
  <c r="P131" i="3"/>
  <c r="P110" i="3"/>
  <c r="Q125" i="3"/>
  <c r="S125" i="3" s="1"/>
  <c r="T125" i="3" s="1"/>
  <c r="U125" i="3" s="1"/>
  <c r="P129" i="3"/>
  <c r="P22" i="3"/>
  <c r="R96" i="3"/>
  <c r="Q5" i="3"/>
  <c r="P10" i="3"/>
  <c r="Q17" i="3"/>
  <c r="R45" i="3"/>
  <c r="R71" i="3"/>
  <c r="Q96" i="3"/>
  <c r="R113" i="3"/>
  <c r="Q115" i="3"/>
  <c r="Q107" i="3"/>
  <c r="P81" i="3"/>
  <c r="P140" i="3"/>
  <c r="Q113" i="3"/>
  <c r="Q63" i="3"/>
  <c r="S63" i="3" s="1"/>
  <c r="Q94" i="3"/>
  <c r="P70" i="3"/>
  <c r="P40" i="3"/>
  <c r="P147" i="3"/>
  <c r="R135" i="3"/>
  <c r="Q103" i="3"/>
  <c r="P99" i="3"/>
  <c r="Q84" i="3"/>
  <c r="R61" i="3"/>
  <c r="R27" i="3"/>
  <c r="Q8" i="3"/>
  <c r="Q10" i="3"/>
  <c r="R30" i="3"/>
  <c r="Q108" i="3"/>
  <c r="R112" i="3"/>
  <c r="R133" i="3"/>
  <c r="Q132" i="3"/>
  <c r="R57" i="3"/>
  <c r="R68" i="3"/>
  <c r="P78" i="3"/>
  <c r="P28" i="3"/>
  <c r="R145" i="3"/>
  <c r="Q119" i="3"/>
  <c r="P87" i="3"/>
  <c r="R89" i="3"/>
  <c r="R35" i="3"/>
  <c r="Q153" i="3"/>
  <c r="Q141" i="3"/>
  <c r="P109" i="3"/>
  <c r="R44" i="3"/>
  <c r="P84" i="3"/>
  <c r="Q4" i="3"/>
  <c r="Q27" i="3"/>
  <c r="R21" i="3"/>
  <c r="R67" i="3"/>
  <c r="P61" i="3"/>
  <c r="Q65" i="3"/>
  <c r="Q139" i="3"/>
  <c r="Q73" i="3"/>
  <c r="Q99" i="3"/>
  <c r="Q95" i="3"/>
  <c r="S95" i="3" s="1"/>
  <c r="R55" i="3"/>
  <c r="Q32" i="3"/>
  <c r="Q7" i="3"/>
  <c r="S7" i="3" s="1"/>
  <c r="R115" i="3"/>
  <c r="R114" i="3"/>
  <c r="Q92" i="3"/>
  <c r="Q46" i="3"/>
  <c r="Q21" i="3"/>
  <c r="Q145" i="3"/>
  <c r="S145" i="3" s="1"/>
  <c r="Q133" i="3"/>
  <c r="P105" i="3"/>
  <c r="R5" i="3"/>
  <c r="P7" i="3"/>
  <c r="Q151" i="3"/>
  <c r="P116" i="3"/>
  <c r="Q86" i="3"/>
  <c r="S86" i="3" s="1"/>
  <c r="T86" i="3" s="1"/>
  <c r="U86" i="3" s="1"/>
  <c r="Q39" i="3"/>
  <c r="S39" i="3" s="1"/>
  <c r="R130" i="3"/>
  <c r="P55" i="3"/>
  <c r="P130" i="3"/>
  <c r="R94" i="3"/>
  <c r="P96" i="3"/>
  <c r="P46" i="3"/>
  <c r="Q25" i="3"/>
  <c r="P58" i="3"/>
  <c r="P73" i="3"/>
  <c r="P136" i="3"/>
  <c r="R60" i="3"/>
  <c r="P16" i="3"/>
  <c r="Q77" i="3"/>
  <c r="R81" i="3"/>
  <c r="R144" i="3"/>
  <c r="R9" i="3"/>
  <c r="Q49" i="3"/>
  <c r="Q18" i="3"/>
  <c r="R87" i="3"/>
  <c r="R54" i="3"/>
  <c r="R132" i="3"/>
  <c r="Q71" i="3"/>
  <c r="S71" i="3" s="1"/>
  <c r="R26" i="3"/>
  <c r="Q128" i="3"/>
  <c r="P124" i="3"/>
  <c r="P143" i="3"/>
  <c r="R88" i="3"/>
  <c r="Q62" i="3"/>
  <c r="P43" i="3"/>
  <c r="P24" i="3"/>
  <c r="R34" i="3"/>
  <c r="R119" i="3"/>
  <c r="R138" i="3"/>
  <c r="P83" i="3"/>
  <c r="P54" i="3"/>
  <c r="Q54" i="3"/>
  <c r="S54" i="3" s="1"/>
  <c r="R11" i="3"/>
  <c r="Q41" i="3"/>
  <c r="Q58" i="3"/>
  <c r="Q80" i="3"/>
  <c r="Q61" i="3"/>
  <c r="Q104" i="3"/>
  <c r="R104" i="3"/>
  <c r="P128" i="3"/>
  <c r="P123" i="3"/>
  <c r="R20" i="3"/>
  <c r="R56" i="3"/>
  <c r="Q55" i="3"/>
  <c r="P13" i="3"/>
  <c r="R142" i="3"/>
  <c r="P63" i="3"/>
  <c r="R69" i="3"/>
  <c r="R15" i="3"/>
  <c r="P138" i="3"/>
  <c r="Q109" i="3"/>
  <c r="P37" i="3"/>
  <c r="Q90" i="3"/>
  <c r="S90" i="3" s="1"/>
  <c r="P68" i="3"/>
  <c r="P38" i="3"/>
  <c r="P8" i="3"/>
  <c r="R41" i="3"/>
  <c r="R91" i="3"/>
  <c r="R101" i="3"/>
  <c r="P21" i="3"/>
  <c r="P85" i="3"/>
  <c r="P146" i="3"/>
  <c r="Q121" i="3"/>
  <c r="R84" i="3"/>
  <c r="P94" i="3"/>
  <c r="P44" i="3"/>
  <c r="R146" i="3"/>
  <c r="P53" i="3"/>
  <c r="P56" i="3"/>
  <c r="R38" i="3"/>
  <c r="R51" i="3"/>
  <c r="P145" i="3"/>
  <c r="P134" i="3"/>
  <c r="Q101" i="3"/>
  <c r="R98" i="3"/>
  <c r="R49" i="3"/>
  <c r="Q150" i="3"/>
  <c r="P69" i="3"/>
  <c r="Q105" i="3"/>
  <c r="P90" i="3"/>
  <c r="Q102" i="3"/>
  <c r="S102" i="3" s="1"/>
  <c r="P95" i="3"/>
  <c r="R47" i="3"/>
  <c r="Q83" i="3"/>
  <c r="R66" i="3"/>
  <c r="P76" i="3"/>
  <c r="P26" i="3"/>
  <c r="R25" i="3"/>
  <c r="P65" i="3"/>
  <c r="R140" i="3"/>
  <c r="Q67" i="3"/>
  <c r="P41" i="3"/>
  <c r="Q118" i="3"/>
  <c r="S118" i="3" s="1"/>
  <c r="T118" i="3" s="1"/>
  <c r="U118" i="3" s="1"/>
  <c r="R110" i="3"/>
  <c r="Q38" i="3"/>
  <c r="Q116" i="3"/>
  <c r="R53" i="3"/>
  <c r="P17" i="3"/>
  <c r="Q97" i="3"/>
  <c r="R36" i="3"/>
  <c r="Q33" i="3"/>
  <c r="R107" i="3"/>
  <c r="Q44" i="3"/>
  <c r="P80" i="3"/>
  <c r="Q123" i="3"/>
  <c r="S123" i="3" s="1"/>
  <c r="T123" i="3" s="1"/>
  <c r="U123" i="3" s="1"/>
  <c r="P133" i="3"/>
  <c r="R150" i="3"/>
  <c r="P92" i="3"/>
  <c r="P126" i="3"/>
  <c r="P91" i="3"/>
  <c r="P82" i="3"/>
  <c r="Q142" i="3"/>
  <c r="R28" i="3"/>
  <c r="R73" i="3"/>
  <c r="P132" i="3"/>
  <c r="P64" i="3"/>
  <c r="P52" i="3"/>
  <c r="Q74" i="3"/>
  <c r="R74" i="3"/>
  <c r="Q42" i="3"/>
  <c r="S42" i="3" s="1"/>
  <c r="T42" i="3" s="1"/>
  <c r="P142" i="3"/>
  <c r="R33" i="3"/>
  <c r="P49" i="3"/>
  <c r="Q122" i="3"/>
  <c r="S122" i="3" s="1"/>
  <c r="R126" i="3"/>
  <c r="Q78" i="3"/>
  <c r="R121" i="3"/>
  <c r="Q117" i="3"/>
  <c r="P12" i="3"/>
  <c r="Q72" i="3"/>
  <c r="P101" i="3"/>
  <c r="R79" i="3"/>
  <c r="P33" i="3"/>
  <c r="P62" i="3"/>
  <c r="P88" i="3"/>
  <c r="P25" i="3"/>
  <c r="Q20" i="3"/>
  <c r="P113" i="3"/>
  <c r="R40" i="3"/>
  <c r="Q23" i="3"/>
  <c r="S23" i="3" s="1"/>
  <c r="P112" i="3"/>
  <c r="P23" i="3"/>
  <c r="S92" i="3" l="1"/>
  <c r="T50" i="3"/>
  <c r="U50" i="3" s="1"/>
  <c r="T102" i="3"/>
  <c r="U102" i="3" s="1"/>
  <c r="S152" i="3"/>
  <c r="T71" i="3"/>
  <c r="U71" i="3" s="1"/>
  <c r="S52" i="3"/>
  <c r="T52" i="3" s="1"/>
  <c r="U52" i="3" s="1"/>
  <c r="S79" i="3"/>
  <c r="T79" i="3" s="1"/>
  <c r="S12" i="3"/>
  <c r="T152" i="3"/>
  <c r="S77" i="3"/>
  <c r="T77" i="3" s="1"/>
  <c r="U77" i="3" s="1"/>
  <c r="S72" i="3"/>
  <c r="T72" i="3" s="1"/>
  <c r="U72" i="3" s="1"/>
  <c r="S116" i="3"/>
  <c r="T116" i="3" s="1"/>
  <c r="U116" i="3" s="1"/>
  <c r="S83" i="3"/>
  <c r="S78" i="3"/>
  <c r="T78" i="3" s="1"/>
  <c r="U78" i="3" s="1"/>
  <c r="S97" i="3"/>
  <c r="T97" i="3" s="1"/>
  <c r="U97" i="3" s="1"/>
  <c r="S146" i="3"/>
  <c r="T146" i="3" s="1"/>
  <c r="U146" i="3" s="1"/>
  <c r="S31" i="3"/>
  <c r="S93" i="3"/>
  <c r="T93" i="3" s="1"/>
  <c r="S85" i="3"/>
  <c r="T85" i="3" s="1"/>
  <c r="U85" i="3" s="1"/>
  <c r="S80" i="3"/>
  <c r="S129" i="3"/>
  <c r="S117" i="3"/>
  <c r="T117" i="3" s="1"/>
  <c r="U117" i="3" s="1"/>
  <c r="S61" i="3"/>
  <c r="S11" i="3"/>
  <c r="T11" i="3" s="1"/>
  <c r="U11" i="3" s="1"/>
  <c r="S151" i="3"/>
  <c r="T151" i="3" s="1"/>
  <c r="U151" i="3" s="1"/>
  <c r="S32" i="3"/>
  <c r="S153" i="3"/>
  <c r="T153" i="3" s="1"/>
  <c r="U153" i="3" s="1"/>
  <c r="S8" i="3"/>
  <c r="T8" i="3" s="1"/>
  <c r="T39" i="3"/>
  <c r="U39" i="3" s="1"/>
  <c r="S103" i="3"/>
  <c r="T103" i="3" s="1"/>
  <c r="T61" i="3"/>
  <c r="U61" i="3" s="1"/>
  <c r="S133" i="3"/>
  <c r="T133" i="3" s="1"/>
  <c r="U133" i="3" s="1"/>
  <c r="S139" i="3"/>
  <c r="T139" i="3" s="1"/>
  <c r="S14" i="3"/>
  <c r="T14" i="3" s="1"/>
  <c r="U14" i="3" s="1"/>
  <c r="S20" i="3"/>
  <c r="T20" i="3" s="1"/>
  <c r="U20" i="3" s="1"/>
  <c r="S142" i="3"/>
  <c r="T142" i="3" s="1"/>
  <c r="U142" i="3" s="1"/>
  <c r="T83" i="3"/>
  <c r="U83" i="3" s="1"/>
  <c r="T32" i="3"/>
  <c r="U32" i="3" s="1"/>
  <c r="S113" i="3"/>
  <c r="T113" i="3" s="1"/>
  <c r="U113" i="3" s="1"/>
  <c r="S55" i="3"/>
  <c r="T55" i="3" s="1"/>
  <c r="U55" i="3" s="1"/>
  <c r="S101" i="3"/>
  <c r="S104" i="3"/>
  <c r="T104" i="3" s="1"/>
  <c r="U104" i="3" s="1"/>
  <c r="S4" i="3"/>
  <c r="T4" i="3" s="1"/>
  <c r="U4" i="3" s="1"/>
  <c r="S3" i="3"/>
  <c r="T3" i="3" s="1"/>
  <c r="U3" i="3" s="1"/>
  <c r="S64" i="3"/>
  <c r="S62" i="3"/>
  <c r="T62" i="3" s="1"/>
  <c r="S137" i="3"/>
  <c r="T137" i="3" s="1"/>
  <c r="U137" i="3" s="1"/>
  <c r="S128" i="3"/>
  <c r="T128" i="3" s="1"/>
  <c r="U128" i="3" s="1"/>
  <c r="S108" i="3"/>
  <c r="T108" i="3" s="1"/>
  <c r="U108" i="3" s="1"/>
  <c r="S17" i="3"/>
  <c r="T17" i="3" s="1"/>
  <c r="U17" i="3" s="1"/>
  <c r="S19" i="3"/>
  <c r="T19" i="3" s="1"/>
  <c r="U19" i="3" s="1"/>
  <c r="T12" i="3"/>
  <c r="U12" i="3" s="1"/>
  <c r="S44" i="3"/>
  <c r="T44" i="3" s="1"/>
  <c r="S38" i="3"/>
  <c r="T38" i="3" s="1"/>
  <c r="U38" i="3" s="1"/>
  <c r="S67" i="3"/>
  <c r="T67" i="3" s="1"/>
  <c r="U67" i="3" s="1"/>
  <c r="S105" i="3"/>
  <c r="T105" i="3" s="1"/>
  <c r="U105" i="3" s="1"/>
  <c r="S109" i="3"/>
  <c r="T109" i="3" s="1"/>
  <c r="U109" i="3" s="1"/>
  <c r="S58" i="3"/>
  <c r="T58" i="3" s="1"/>
  <c r="U58" i="3" s="1"/>
  <c r="S21" i="3"/>
  <c r="T21" i="3" s="1"/>
  <c r="U21" i="3" s="1"/>
  <c r="S65" i="3"/>
  <c r="T65" i="3" s="1"/>
  <c r="U65" i="3" s="1"/>
  <c r="S27" i="3"/>
  <c r="T27" i="3" s="1"/>
  <c r="U27" i="3" s="1"/>
  <c r="S96" i="3"/>
  <c r="T96" i="3" s="1"/>
  <c r="U96" i="3" s="1"/>
  <c r="S120" i="3"/>
  <c r="T120" i="3" s="1"/>
  <c r="U120" i="3" s="1"/>
  <c r="S106" i="3"/>
  <c r="T106" i="3" s="1"/>
  <c r="U106" i="3" s="1"/>
  <c r="S124" i="3"/>
  <c r="T124" i="3" s="1"/>
  <c r="T122" i="3"/>
  <c r="U122" i="3" s="1"/>
  <c r="T143" i="3"/>
  <c r="U143" i="3" s="1"/>
  <c r="S18" i="3"/>
  <c r="T18" i="3" s="1"/>
  <c r="U18" i="3" s="1"/>
  <c r="S46" i="3"/>
  <c r="T46" i="3" s="1"/>
  <c r="U46" i="3" s="1"/>
  <c r="T7" i="3"/>
  <c r="U7" i="3" s="1"/>
  <c r="S99" i="3"/>
  <c r="T99" i="3" s="1"/>
  <c r="U99" i="3" s="1"/>
  <c r="S141" i="3"/>
  <c r="T141" i="3" s="1"/>
  <c r="U141" i="3" s="1"/>
  <c r="S10" i="3"/>
  <c r="T10" i="3" s="1"/>
  <c r="U10" i="3" s="1"/>
  <c r="T149" i="3"/>
  <c r="S59" i="3"/>
  <c r="T59" i="3" s="1"/>
  <c r="U59" i="3" s="1"/>
  <c r="S121" i="3"/>
  <c r="T121" i="3" s="1"/>
  <c r="U121" i="3" s="1"/>
  <c r="S25" i="3"/>
  <c r="T25" i="3" s="1"/>
  <c r="U25" i="3" s="1"/>
  <c r="T95" i="3"/>
  <c r="U95" i="3" s="1"/>
  <c r="S132" i="3"/>
  <c r="T132" i="3" s="1"/>
  <c r="U132" i="3" s="1"/>
  <c r="S94" i="3"/>
  <c r="T94" i="3" s="1"/>
  <c r="U94" i="3" s="1"/>
  <c r="S35" i="3"/>
  <c r="T35" i="3" s="1"/>
  <c r="U35" i="3" s="1"/>
  <c r="T43" i="3"/>
  <c r="U43" i="3" s="1"/>
  <c r="S144" i="3"/>
  <c r="T144" i="3" s="1"/>
  <c r="T24" i="3"/>
  <c r="U24" i="3" s="1"/>
  <c r="S57" i="3"/>
  <c r="T57" i="3" s="1"/>
  <c r="U57" i="3" s="1"/>
  <c r="S6" i="3"/>
  <c r="T6" i="3" s="1"/>
  <c r="U6" i="3" s="1"/>
  <c r="T129" i="3"/>
  <c r="S135" i="3"/>
  <c r="T135" i="3" s="1"/>
  <c r="U135" i="3" s="1"/>
  <c r="S126" i="3"/>
  <c r="T126" i="3" s="1"/>
  <c r="U126" i="3" s="1"/>
  <c r="S45" i="3"/>
  <c r="T45" i="3" s="1"/>
  <c r="U45" i="3" s="1"/>
  <c r="S34" i="3"/>
  <c r="T34" i="3" s="1"/>
  <c r="S69" i="3"/>
  <c r="T69" i="3" s="1"/>
  <c r="U69" i="3" s="1"/>
  <c r="S111" i="3"/>
  <c r="T111" i="3" s="1"/>
  <c r="U111" i="3" s="1"/>
  <c r="S9" i="3"/>
  <c r="T9" i="3" s="1"/>
  <c r="U9" i="3" s="1"/>
  <c r="S15" i="3"/>
  <c r="T15" i="3" s="1"/>
  <c r="U15" i="3" s="1"/>
  <c r="S140" i="3"/>
  <c r="T140" i="3" s="1"/>
  <c r="U140" i="3" s="1"/>
  <c r="T101" i="3"/>
  <c r="U101" i="3" s="1"/>
  <c r="S41" i="3"/>
  <c r="T41" i="3" s="1"/>
  <c r="U41" i="3" s="1"/>
  <c r="S84" i="3"/>
  <c r="T84" i="3" s="1"/>
  <c r="U84" i="3" s="1"/>
  <c r="T63" i="3"/>
  <c r="U63" i="3" s="1"/>
  <c r="S107" i="3"/>
  <c r="T107" i="3" s="1"/>
  <c r="U107" i="3" s="1"/>
  <c r="S5" i="3"/>
  <c r="T5" i="3" s="1"/>
  <c r="U5" i="3" s="1"/>
  <c r="T82" i="3"/>
  <c r="U82" i="3" s="1"/>
  <c r="T13" i="3"/>
  <c r="U13" i="3" s="1"/>
  <c r="S22" i="3"/>
  <c r="T22" i="3" s="1"/>
  <c r="S60" i="3"/>
  <c r="T60" i="3" s="1"/>
  <c r="U60" i="3" s="1"/>
  <c r="T147" i="3"/>
  <c r="U147" i="3" s="1"/>
  <c r="T64" i="3"/>
  <c r="S68" i="3"/>
  <c r="T68" i="3" s="1"/>
  <c r="S134" i="3"/>
  <c r="T134" i="3" s="1"/>
  <c r="S51" i="3"/>
  <c r="T51" i="3" s="1"/>
  <c r="U51" i="3" s="1"/>
  <c r="S53" i="3"/>
  <c r="T53" i="3" s="1"/>
  <c r="U53" i="3" s="1"/>
  <c r="S130" i="3"/>
  <c r="T130" i="3" s="1"/>
  <c r="U130" i="3" s="1"/>
  <c r="S100" i="3"/>
  <c r="T100" i="3" s="1"/>
  <c r="U100" i="3" s="1"/>
  <c r="S40" i="3"/>
  <c r="T40" i="3" s="1"/>
  <c r="S148" i="3"/>
  <c r="T148" i="3" s="1"/>
  <c r="U148" i="3" s="1"/>
  <c r="T23" i="3"/>
  <c r="U23" i="3" s="1"/>
  <c r="S33" i="3"/>
  <c r="T33" i="3" s="1"/>
  <c r="U33" i="3" s="1"/>
  <c r="S150" i="3"/>
  <c r="T150" i="3" s="1"/>
  <c r="U150" i="3" s="1"/>
  <c r="T90" i="3"/>
  <c r="U90" i="3" s="1"/>
  <c r="S49" i="3"/>
  <c r="T49" i="3" s="1"/>
  <c r="T92" i="3"/>
  <c r="U92" i="3" s="1"/>
  <c r="S73" i="3"/>
  <c r="T73" i="3" s="1"/>
  <c r="S119" i="3"/>
  <c r="T119" i="3" s="1"/>
  <c r="S115" i="3"/>
  <c r="T115" i="3" s="1"/>
  <c r="S30" i="3"/>
  <c r="T30" i="3" s="1"/>
  <c r="U30" i="3" s="1"/>
  <c r="S98" i="3"/>
  <c r="T98" i="3" s="1"/>
  <c r="S76" i="3"/>
  <c r="T76" i="3" s="1"/>
  <c r="U76" i="3" s="1"/>
  <c r="S28" i="3"/>
  <c r="T28" i="3" s="1"/>
  <c r="S138" i="3"/>
  <c r="T138" i="3" s="1"/>
  <c r="U138" i="3" s="1"/>
  <c r="S47" i="3"/>
  <c r="T47" i="3" s="1"/>
  <c r="S88" i="3"/>
  <c r="T88" i="3" s="1"/>
  <c r="S36" i="3"/>
  <c r="T36" i="3" s="1"/>
  <c r="U36" i="3" s="1"/>
  <c r="S87" i="3"/>
  <c r="T87" i="3" s="1"/>
  <c r="U87" i="3" s="1"/>
  <c r="T31" i="3"/>
  <c r="U31" i="3" s="1"/>
  <c r="S110" i="3"/>
  <c r="T110" i="3" s="1"/>
  <c r="S89" i="3"/>
  <c r="T89" i="3" s="1"/>
  <c r="U89" i="3" s="1"/>
  <c r="S70" i="3"/>
  <c r="T70" i="3" s="1"/>
  <c r="U70" i="3" s="1"/>
  <c r="S74" i="3"/>
  <c r="T74" i="3" s="1"/>
  <c r="U74" i="3" s="1"/>
  <c r="T80" i="3"/>
  <c r="U80" i="3" s="1"/>
  <c r="T54" i="3"/>
  <c r="U54" i="3" s="1"/>
  <c r="T145" i="3"/>
  <c r="U145" i="3" s="1"/>
  <c r="S114" i="3"/>
  <c r="T114" i="3" s="1"/>
  <c r="U114" i="3" s="1"/>
  <c r="S66" i="3"/>
  <c r="T66" i="3" s="1"/>
  <c r="U66" i="3" s="1"/>
  <c r="S112" i="3"/>
  <c r="T112" i="3" s="1"/>
  <c r="U112" i="3" s="1"/>
  <c r="S91" i="3"/>
  <c r="T91" i="3" s="1"/>
  <c r="U91" i="3" s="1"/>
  <c r="S16" i="3"/>
  <c r="T16" i="3" s="1"/>
  <c r="U16" i="3" s="1"/>
  <c r="S56" i="3"/>
  <c r="T56" i="3" s="1"/>
  <c r="U56" i="3" s="1"/>
  <c r="S81" i="3"/>
  <c r="T81" i="3" s="1"/>
  <c r="U81" i="3" s="1"/>
  <c r="S75" i="3"/>
  <c r="T75" i="3" s="1"/>
  <c r="U75" i="3" s="1"/>
  <c r="S131" i="3"/>
  <c r="T131" i="3" s="1"/>
  <c r="U131" i="3" s="1"/>
  <c r="S26" i="3"/>
  <c r="T26" i="3" s="1"/>
  <c r="U26" i="3" s="1"/>
  <c r="S29" i="3"/>
  <c r="T29" i="3" s="1"/>
  <c r="U29" i="3" s="1"/>
  <c r="S136" i="3"/>
  <c r="T136" i="3" s="1"/>
  <c r="U136" i="3" s="1"/>
  <c r="S37" i="3"/>
  <c r="T37" i="3" s="1"/>
  <c r="S48" i="3"/>
  <c r="T48" i="3" s="1"/>
  <c r="U48" i="3" s="1"/>
  <c r="H26" i="1"/>
  <c r="L25" i="1"/>
  <c r="M25" i="1"/>
  <c r="L26" i="1"/>
  <c r="M26" i="1"/>
  <c r="M24" i="1"/>
  <c r="L24" i="1"/>
  <c r="H25" i="1"/>
  <c r="U42" i="3" s="1"/>
  <c r="H24" i="1"/>
  <c r="M28" i="1"/>
  <c r="L28" i="1"/>
  <c r="I27" i="1"/>
  <c r="L31" i="1"/>
  <c r="M31" i="1"/>
  <c r="L32" i="1"/>
  <c r="M32" i="1"/>
  <c r="L33" i="1"/>
  <c r="M33" i="1"/>
  <c r="H31" i="1"/>
  <c r="H32" i="1"/>
  <c r="H33" i="1"/>
  <c r="L19" i="1"/>
  <c r="M19" i="1"/>
  <c r="H19" i="1"/>
  <c r="I19" i="1" s="1"/>
  <c r="L17" i="1"/>
  <c r="M17" i="1"/>
  <c r="H17" i="1"/>
  <c r="K31" i="1" l="1"/>
  <c r="N31" i="1" s="1"/>
  <c r="O31" i="1" s="1"/>
  <c r="U47" i="3"/>
  <c r="K32" i="1"/>
  <c r="N32" i="1" s="1"/>
  <c r="O32" i="1" s="1"/>
  <c r="U40" i="3"/>
  <c r="U37" i="3"/>
  <c r="K33" i="1"/>
  <c r="N33" i="1" s="1"/>
  <c r="O33" i="1" s="1"/>
  <c r="I26" i="1"/>
  <c r="U49" i="3"/>
  <c r="I31" i="1"/>
  <c r="U73" i="3"/>
  <c r="I25" i="1"/>
  <c r="U44" i="3"/>
  <c r="U68" i="3"/>
  <c r="I33" i="1"/>
  <c r="U88" i="3"/>
  <c r="I17" i="1"/>
  <c r="U8" i="3"/>
  <c r="I32" i="1"/>
  <c r="U79" i="3"/>
  <c r="K28" i="1"/>
  <c r="N28" i="1" s="1"/>
  <c r="O28" i="1" s="1"/>
  <c r="I24" i="1"/>
  <c r="H29" i="1"/>
  <c r="E9" i="6" s="1"/>
  <c r="K19" i="1"/>
  <c r="N19" i="1" s="1"/>
  <c r="O19" i="1" s="1"/>
  <c r="K26" i="1"/>
  <c r="N26" i="1" s="1"/>
  <c r="O26" i="1" s="1"/>
  <c r="K25" i="1"/>
  <c r="N25" i="1" s="1"/>
  <c r="O25" i="1" s="1"/>
  <c r="K24" i="1"/>
  <c r="N24" i="1" s="1"/>
  <c r="O24" i="1" s="1"/>
  <c r="K17" i="1"/>
  <c r="N17" i="1" s="1"/>
  <c r="O17" i="1" s="1"/>
  <c r="I29" i="1" l="1"/>
  <c r="F9" i="6" s="1"/>
  <c r="D20" i="6"/>
  <c r="D18" i="6"/>
  <c r="D14" i="6"/>
  <c r="J10" i="6"/>
  <c r="J9" i="6"/>
  <c r="I10" i="6"/>
  <c r="I9" i="6"/>
  <c r="H10" i="6"/>
  <c r="H9" i="6"/>
  <c r="J8" i="6"/>
  <c r="I8" i="6"/>
  <c r="I7" i="6"/>
  <c r="H7" i="6"/>
  <c r="H6" i="6"/>
  <c r="C21" i="6"/>
  <c r="C20" i="6"/>
  <c r="C19" i="6"/>
  <c r="C17" i="6"/>
  <c r="C15" i="6"/>
  <c r="C14" i="6"/>
  <c r="C13" i="6"/>
  <c r="C12" i="6"/>
  <c r="C11" i="6"/>
  <c r="C10" i="6"/>
  <c r="C8" i="6"/>
  <c r="C7" i="6"/>
  <c r="C3" i="6"/>
  <c r="C2" i="6"/>
  <c r="H50" i="1" l="1"/>
  <c r="H51" i="1"/>
  <c r="H52" i="1"/>
  <c r="H53" i="1"/>
  <c r="L50" i="1"/>
  <c r="M50" i="1"/>
  <c r="L51" i="1"/>
  <c r="M51" i="1"/>
  <c r="L52" i="1"/>
  <c r="M52" i="1"/>
  <c r="L53" i="1"/>
  <c r="M53" i="1"/>
  <c r="L43" i="1"/>
  <c r="M43" i="1"/>
  <c r="M42" i="1"/>
  <c r="L42" i="1"/>
  <c r="H43" i="1"/>
  <c r="U129" i="3" s="1"/>
  <c r="H42" i="1"/>
  <c r="L40" i="1"/>
  <c r="M40" i="1"/>
  <c r="L35" i="1"/>
  <c r="M35" i="1"/>
  <c r="L36" i="1"/>
  <c r="M36" i="1"/>
  <c r="L37" i="1"/>
  <c r="M37" i="1"/>
  <c r="L38" i="1"/>
  <c r="M38" i="1"/>
  <c r="L39" i="1"/>
  <c r="M39" i="1"/>
  <c r="H40" i="1"/>
  <c r="H35" i="1"/>
  <c r="U93" i="3" s="1"/>
  <c r="H36" i="1"/>
  <c r="H37" i="1"/>
  <c r="H38" i="1"/>
  <c r="H39" i="1"/>
  <c r="L30" i="1"/>
  <c r="M30" i="1"/>
  <c r="H30" i="1"/>
  <c r="U62" i="3" s="1"/>
  <c r="M22" i="1"/>
  <c r="L22" i="1"/>
  <c r="L20" i="1"/>
  <c r="K20" i="1" s="1"/>
  <c r="H22" i="1"/>
  <c r="L18" i="1"/>
  <c r="M18" i="1"/>
  <c r="K38" i="1" l="1"/>
  <c r="K36" i="1"/>
  <c r="I50" i="1"/>
  <c r="U134" i="3"/>
  <c r="I39" i="1"/>
  <c r="U115" i="3"/>
  <c r="I53" i="1"/>
  <c r="U149" i="3"/>
  <c r="I22" i="1"/>
  <c r="U34" i="3"/>
  <c r="I30" i="1"/>
  <c r="I34" i="1" s="1"/>
  <c r="F10" i="6" s="1"/>
  <c r="U64" i="3"/>
  <c r="I38" i="1"/>
  <c r="U110" i="3"/>
  <c r="I40" i="1"/>
  <c r="U119" i="3"/>
  <c r="I52" i="1"/>
  <c r="U144" i="3"/>
  <c r="I37" i="1"/>
  <c r="U103" i="3"/>
  <c r="I42" i="1"/>
  <c r="U124" i="3"/>
  <c r="I51" i="1"/>
  <c r="U139" i="3"/>
  <c r="I36" i="1"/>
  <c r="U98" i="3"/>
  <c r="I35" i="1"/>
  <c r="H41" i="1"/>
  <c r="E11" i="6" s="1"/>
  <c r="K35" i="1"/>
  <c r="N35" i="1" s="1"/>
  <c r="O35" i="1" s="1"/>
  <c r="K30" i="1"/>
  <c r="N30" i="1" s="1"/>
  <c r="O30" i="1" s="1"/>
  <c r="I43" i="1"/>
  <c r="H44" i="1"/>
  <c r="K43" i="1"/>
  <c r="N43" i="1" s="1"/>
  <c r="O43" i="1" s="1"/>
  <c r="K40" i="1"/>
  <c r="N40" i="1" s="1"/>
  <c r="O40" i="1" s="1"/>
  <c r="K39" i="1"/>
  <c r="N39" i="1" s="1"/>
  <c r="O39" i="1" s="1"/>
  <c r="K37" i="1"/>
  <c r="N37" i="1" s="1"/>
  <c r="O37" i="1" s="1"/>
  <c r="I23" i="1"/>
  <c r="F8" i="6" s="1"/>
  <c r="H34" i="1"/>
  <c r="E10" i="6" s="1"/>
  <c r="N38" i="1"/>
  <c r="O38" i="1" s="1"/>
  <c r="K51" i="1"/>
  <c r="N51" i="1" s="1"/>
  <c r="O51" i="1" s="1"/>
  <c r="E16" i="6"/>
  <c r="K42" i="1"/>
  <c r="N42" i="1" s="1"/>
  <c r="O42" i="1" s="1"/>
  <c r="N36" i="1"/>
  <c r="O36" i="1" s="1"/>
  <c r="K22" i="1"/>
  <c r="N22" i="1" s="1"/>
  <c r="O22" i="1" s="1"/>
  <c r="K53" i="1"/>
  <c r="N53" i="1" s="1"/>
  <c r="O53" i="1" s="1"/>
  <c r="K50" i="1"/>
  <c r="N50" i="1" s="1"/>
  <c r="O50" i="1" s="1"/>
  <c r="K18" i="1"/>
  <c r="N18" i="1" s="1"/>
  <c r="O18" i="1" s="1"/>
  <c r="K52" i="1"/>
  <c r="N52" i="1" s="1"/>
  <c r="O52" i="1" s="1"/>
  <c r="N20" i="1"/>
  <c r="O20" i="1" s="1"/>
  <c r="H23" i="1"/>
  <c r="E8" i="6" s="1"/>
  <c r="F16" i="6" l="1"/>
  <c r="I44" i="1"/>
  <c r="I41" i="1"/>
  <c r="F11" i="6" s="1"/>
  <c r="R2" i="3"/>
  <c r="Q2" i="3"/>
  <c r="P2" i="3"/>
  <c r="E12" i="6"/>
  <c r="F12" i="6"/>
  <c r="L3" i="1"/>
  <c r="S2" i="3" l="1"/>
  <c r="T2" i="3" s="1"/>
  <c r="U2" i="3" s="1"/>
  <c r="R154" i="3"/>
  <c r="Q154" i="3"/>
  <c r="P154" i="3"/>
  <c r="K3" i="1"/>
  <c r="K4" i="1"/>
  <c r="S154" i="3" l="1"/>
  <c r="H20" i="1"/>
  <c r="U28" i="3" s="1"/>
  <c r="H18" i="1"/>
  <c r="U22" i="3"/>
  <c r="H21" i="1" l="1"/>
  <c r="I18" i="1"/>
  <c r="I20" i="1"/>
  <c r="I21" i="1" l="1"/>
  <c r="I46" i="1" s="1"/>
  <c r="H46" i="1"/>
  <c r="E13" i="6" s="1"/>
  <c r="E7" i="6"/>
  <c r="I8" i="1" l="1"/>
  <c r="F13" i="6"/>
  <c r="F7" i="6"/>
  <c r="H56" i="1"/>
  <c r="E18" i="6" s="1"/>
  <c r="H48" i="1"/>
  <c r="U152" i="3" s="1"/>
  <c r="T154" i="3" l="1"/>
  <c r="H49" i="1"/>
  <c r="E15" i="6" s="1"/>
  <c r="I48" i="1"/>
  <c r="I49" i="1" s="1"/>
  <c r="I54" i="1" s="1"/>
  <c r="E14" i="6"/>
  <c r="I56" i="1"/>
  <c r="F14" i="6" l="1"/>
  <c r="F18" i="6"/>
  <c r="I57" i="1"/>
  <c r="F15" i="6"/>
  <c r="H54" i="1"/>
  <c r="I9" i="1" l="1"/>
  <c r="T155" i="3"/>
  <c r="U155" i="3" s="1"/>
  <c r="H57" i="1"/>
  <c r="I10" i="1" s="1"/>
  <c r="E17" i="6"/>
  <c r="F17" i="6"/>
  <c r="H59" i="1" l="1"/>
  <c r="F19" i="6"/>
  <c r="E19" i="6"/>
  <c r="E20" i="6" l="1"/>
  <c r="H60" i="1"/>
  <c r="I13" i="1" s="1"/>
  <c r="E23" i="6" s="1"/>
  <c r="I59" i="1"/>
  <c r="I60" i="1" s="1"/>
  <c r="E21" i="6" l="1"/>
  <c r="F20" i="6"/>
  <c r="F21" i="6"/>
  <c r="I11" i="1"/>
  <c r="I12" i="1" l="1"/>
</calcChain>
</file>

<file path=xl/sharedStrings.xml><?xml version="1.0" encoding="utf-8"?>
<sst xmlns="http://schemas.openxmlformats.org/spreadsheetml/2006/main" count="994" uniqueCount="440">
  <si>
    <t>שם התכנית</t>
  </si>
  <si>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</si>
  <si>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</si>
  <si>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</si>
  <si>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</si>
  <si>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</si>
  <si>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</si>
  <si>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</si>
  <si>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</si>
  <si>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</si>
  <si>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</si>
  <si>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</si>
  <si>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</si>
  <si>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</si>
  <si>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</si>
  <si>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</si>
  <si>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</si>
  <si>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</si>
  <si>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</si>
  <si>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</si>
  <si>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</si>
  <si>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</si>
  <si>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</si>
  <si>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</si>
  <si>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</si>
  <si>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</si>
  <si>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</si>
  <si>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</si>
  <si>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</si>
  <si>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</si>
  <si>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</si>
  <si>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</si>
  <si>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</si>
  <si>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</si>
  <si>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</si>
  <si>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</si>
  <si>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</si>
  <si>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</si>
  <si>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</si>
  <si>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</si>
  <si>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</si>
  <si>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</si>
  <si>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</si>
  <si>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</si>
  <si>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</si>
  <si>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</si>
  <si>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</si>
  <si>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</si>
  <si>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</si>
  <si>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</si>
  <si>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</si>
  <si>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</si>
  <si>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</si>
  <si>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</si>
  <si>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</si>
  <si>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</si>
  <si>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</si>
  <si>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</si>
  <si>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תקופת ההפקה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</si>
  <si>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</si>
  <si>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</si>
  <si>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</si>
  <si>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</si>
  <si>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</si>
  <si>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</si>
  <si>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</si>
  <si>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</si>
  <si>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</si>
  <si>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</si>
  <si>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</si>
  <si>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משנה</t>
  </si>
  <si>
    <t>מלהק</t>
  </si>
  <si>
    <t>תחקירן ליהוק</t>
  </si>
  <si>
    <t>במאי שטח</t>
  </si>
  <si>
    <t>מפיק ראשי</t>
  </si>
  <si>
    <t>-</t>
  </si>
  <si>
    <t>מפיק בפועל</t>
  </si>
  <si>
    <t>מנהל הפקה</t>
  </si>
  <si>
    <t>מתאם הפקה</t>
  </si>
  <si>
    <t>עוזר הפקה</t>
  </si>
  <si>
    <t>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</si>
  <si>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</si>
  <si>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</si>
  <si>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</si>
  <si>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</si>
  <si>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</si>
  <si>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</si>
  <si>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</si>
  <si>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שעות נוספות צוות צילום</t>
  </si>
  <si>
    <t>שונות צוות צילום</t>
  </si>
  <si>
    <t>סה"כ מערכת</t>
  </si>
  <si>
    <t>ציוד מצלמה מיוחד</t>
  </si>
  <si>
    <t>ציוד תאורה וגריפ</t>
  </si>
  <si>
    <t>מתכלים</t>
  </si>
  <si>
    <t>ארט/פרופס/דרסינג</t>
  </si>
  <si>
    <t>אש"ל צילומים</t>
  </si>
  <si>
    <t>ק"ק הפקה</t>
  </si>
  <si>
    <t>ק"ק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</si>
  <si>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</si>
  <si>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</si>
  <si>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</si>
  <si>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</si>
  <si>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</si>
  <si>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</si>
  <si>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</si>
  <si>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</si>
  <si>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</si>
  <si>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</si>
  <si>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</si>
  <si>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</si>
  <si>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</si>
  <si>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עורך און ליין</t>
  </si>
  <si>
    <t>חדר און ליין</t>
  </si>
  <si>
    <t>אולפן סאונד + עורך</t>
  </si>
  <si>
    <t>מוסיקה מקורית</t>
  </si>
  <si>
    <t>ייעוץ מוסיקלי</t>
  </si>
  <si>
    <t>פתיח ואריזה גרפית</t>
  </si>
  <si>
    <t>עיצוב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</si>
  <si>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</si>
  <si>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</si>
  <si>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</si>
  <si>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</si>
  <si>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</si>
  <si>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</si>
  <si>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</si>
  <si>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</si>
  <si>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</si>
  <si>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</si>
  <si>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</si>
  <si>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</si>
  <si>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</si>
  <si>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</si>
  <si>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</si>
  <si>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</si>
  <si>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סה"כ עלות הפקה כולל מע"מ</t>
  </si>
  <si>
    <t>סיכום</t>
  </si>
  <si>
    <t>סה"כ ₪</t>
  </si>
  <si>
    <t>עלות ישירה</t>
  </si>
  <si>
    <t>עלות כולל בלת"צ ותקורות</t>
  </si>
  <si>
    <t>עלות כולל רווח לפני מע"מ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</si>
  <si>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</si>
  <si>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</si>
  <si>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</si>
  <si>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</si>
  <si>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</si>
  <si>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</si>
  <si>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</si>
  <si>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</si>
  <si>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</si>
  <si>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מערכת</t>
  </si>
  <si>
    <t>צוות הפקה</t>
  </si>
  <si>
    <t>צוות צילום</t>
  </si>
  <si>
    <t>אולפן, ציוד טכני וחו"ג</t>
  </si>
  <si>
    <t>00</t>
  </si>
  <si>
    <t>שונות פוסט</t>
  </si>
  <si>
    <t>תקורות</t>
  </si>
  <si>
    <t>שונות תקורות</t>
  </si>
  <si>
    <t xml:space="preserve">סה"כ </t>
  </si>
  <si>
    <t>בקרה</t>
  </si>
  <si>
    <t>בדיקת סעיפים</t>
  </si>
  <si>
    <t>בדיקת מידע כללי</t>
  </si>
  <si>
    <t>עלות פרק כולל מע"מ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</si>
  <si>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</si>
  <si>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</si>
  <si>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</si>
  <si>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</si>
  <si>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</si>
  <si>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</si>
  <si>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</si>
  <si>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</si>
  <si>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</si>
  <si>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תכנית אולפן</t>
  </si>
  <si>
    <t>רכישת פורמט</t>
  </si>
  <si>
    <t>דוקו</t>
  </si>
  <si>
    <t>אומנים</t>
  </si>
  <si>
    <t>דרמה</t>
  </si>
  <si>
    <t>עורך תוכן / עורך בפועל</t>
  </si>
  <si>
    <t>דוקו ריאליטי</t>
  </si>
  <si>
    <t>רכזת מערכת / ריכוז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</si>
  <si>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</si>
  <si>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</si>
  <si>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</si>
  <si>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</si>
  <si>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</si>
  <si>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</si>
  <si>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</si>
  <si>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</si>
  <si>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</si>
  <si>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</si>
  <si>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ע.מלבישה</t>
  </si>
  <si>
    <t>ע.מאפרת</t>
  </si>
  <si>
    <t>במאי צילומי חוץ</t>
  </si>
  <si>
    <t>פרופסמן</t>
  </si>
  <si>
    <t xml:space="preserve">תאורן 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</si>
  <si>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</si>
  <si>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</si>
  <si>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</si>
  <si>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</si>
  <si>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</si>
  <si>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</si>
  <si>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</si>
  <si>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</si>
  <si>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צילומים מיוחדים</t>
  </si>
  <si>
    <t>הלבשה</t>
  </si>
  <si>
    <t>הוצאות תחקיר וארכיון</t>
  </si>
  <si>
    <t>קייטרינג</t>
  </si>
  <si>
    <t>קייטרינג קהל</t>
  </si>
  <si>
    <t>אשל כלכלה לצוות חוץ</t>
  </si>
  <si>
    <t>מנהלה - תכניות אולפן</t>
  </si>
  <si>
    <t>הסעות קהל</t>
  </si>
  <si>
    <t>אש"ל סיורים ורפה פרודקשן</t>
  </si>
  <si>
    <t>חדר עוף ליין</t>
  </si>
  <si>
    <t>דיגיטציה + דיגיטטור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</si>
  <si>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</si>
  <si>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</si>
  <si>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</si>
  <si>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</si>
  <si>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</si>
  <si>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מערכת - צוות הפקה ותוכן</t>
  </si>
  <si>
    <t>שחקנים</t>
  </si>
  <si>
    <t>טיסות</t>
  </si>
  <si>
    <t>אנימציה + אנימטור</t>
  </si>
  <si>
    <t>דיגיטל</t>
  </si>
  <si>
    <t>חו"ל - טיסות</t>
  </si>
  <si>
    <t>חו"ל - לינה</t>
  </si>
  <si>
    <t>חו"ל - אש"ל</t>
  </si>
  <si>
    <t>חו"ל - תחבורה</t>
  </si>
  <si>
    <t>חו"ל - אישורי צילומים</t>
  </si>
  <si>
    <t>חו"ל שונות</t>
  </si>
  <si>
    <t>סה"כ אולפן, ציוד טכני וחו"ג</t>
  </si>
  <si>
    <t>טיסות חו"ל</t>
  </si>
  <si>
    <t>תחקירן ארכיון</t>
  </si>
  <si>
    <t>שחקנים ראשיים</t>
  </si>
  <si>
    <t>ניצבים</t>
  </si>
  <si>
    <t>ביטים</t>
  </si>
  <si>
    <t>שעות נוספות שחקנים</t>
  </si>
  <si>
    <t>שונות שחקנים</t>
  </si>
  <si>
    <t>הזכרת רכבי הפקה</t>
  </si>
  <si>
    <t>פלטפורמה דיגיטלית - אפיון</t>
  </si>
  <si>
    <t>פלטפורמה דיגיטלית - עיצוב</t>
  </si>
  <si>
    <t>פלטפורמה דיגיטלית - פיתוח</t>
  </si>
  <si>
    <t>פלטפורמה דיגיטלית - שונות</t>
  </si>
  <si>
    <t>תמלול (תמלול ותרגום תכניות אולפן)</t>
  </si>
  <si>
    <t>עלות לדקה כולל מע"מ</t>
  </si>
  <si>
    <t>טכנאי סאונד</t>
  </si>
  <si>
    <t>מגיש ב'</t>
  </si>
  <si>
    <t>מגיש ג'</t>
  </si>
  <si>
    <t>אורחים בתשלום</t>
  </si>
  <si>
    <t>הגשה</t>
  </si>
  <si>
    <t>צוות טכני</t>
  </si>
  <si>
    <t>צילום דיגיטלי</t>
  </si>
  <si>
    <t>עורך סאונד</t>
  </si>
  <si>
    <t>זכויות יוצרים</t>
  </si>
  <si>
    <t>סה"כ צוות טכני</t>
  </si>
  <si>
    <t>שונות הגשה</t>
  </si>
  <si>
    <t>מגיש א'</t>
  </si>
  <si>
    <t>שונות עריכה</t>
  </si>
  <si>
    <t>0100</t>
  </si>
  <si>
    <t>0101</t>
  </si>
  <si>
    <t>0102</t>
  </si>
  <si>
    <t>0103</t>
  </si>
  <si>
    <t>0104</t>
  </si>
  <si>
    <t>ספורט</t>
  </si>
  <si>
    <t>0105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</si>
  <si>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</si>
  <si>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</si>
  <si>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</si>
  <si>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</si>
  <si>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</si>
  <si>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</si>
  <si>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</si>
  <si>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</si>
  <si>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</si>
  <si>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</si>
  <si>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</si>
  <si>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</si>
  <si>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</si>
  <si>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</si>
  <si>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</si>
  <si>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</si>
  <si>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</si>
  <si>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</si>
  <si>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</si>
  <si>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</si>
  <si>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</si>
  <si>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</si>
  <si>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</si>
  <si>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</si>
  <si>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</si>
  <si>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</si>
  <si>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</si>
  <si>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</si>
  <si>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</si>
  <si>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</si>
  <si>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</si>
  <si>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</si>
  <si>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</si>
  <si>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</si>
  <si>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</si>
  <si>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</si>
  <si>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</si>
  <si>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</si>
  <si>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</si>
  <si>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</si>
  <si>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</si>
  <si>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</si>
  <si>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</si>
  <si>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</si>
  <si>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</si>
  <si>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</si>
  <si>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</si>
  <si>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</si>
  <si>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</si>
  <si>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</si>
  <si>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</si>
  <si>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</si>
  <si>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</si>
  <si>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</si>
  <si>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</si>
  <si>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</si>
  <si>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</si>
  <si>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</si>
  <si>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</si>
  <si>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</si>
  <si>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</si>
  <si>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</si>
  <si>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</si>
  <si>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</si>
  <si>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</si>
  <si>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</si>
  <si>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</si>
  <si>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</si>
  <si>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</si>
  <si>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</si>
  <si>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</si>
  <si>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</si>
  <si>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</si>
  <si>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</si>
  <si>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</si>
  <si>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</si>
  <si>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</si>
  <si>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</si>
  <si>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</si>
  <si>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</si>
  <si>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</si>
  <si>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</si>
  <si>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</si>
  <si>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</si>
  <si>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</si>
  <si>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</si>
  <si>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</si>
  <si>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</si>
  <si>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</si>
  <si>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</si>
  <si>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</si>
  <si>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</si>
  <si>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</si>
  <si>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</si>
  <si>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</si>
  <si>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</si>
  <si>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</si>
  <si>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</si>
  <si>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</si>
  <si>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</si>
  <si>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</si>
  <si>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</si>
  <si>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</si>
  <si>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</si>
  <si>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</si>
  <si>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</si>
  <si>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</si>
  <si>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</si>
  <si>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</si>
  <si>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</si>
  <si>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0800</t>
  </si>
  <si>
    <t>0801</t>
  </si>
  <si>
    <t>0802</t>
  </si>
  <si>
    <t>0803</t>
  </si>
  <si>
    <t>0804</t>
  </si>
  <si>
    <t>0805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</si>
  <si>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</si>
  <si>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</si>
  <si>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</si>
  <si>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</si>
  <si>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</si>
  <si>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</si>
  <si>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</si>
  <si>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</si>
  <si>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</si>
  <si>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</si>
  <si>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</si>
  <si>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</si>
  <si>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</si>
  <si>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</si>
  <si>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</si>
  <si>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</si>
  <si>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</si>
  <si>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</si>
  <si>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</si>
  <si>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</si>
  <si>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</si>
  <si>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</si>
  <si>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</si>
  <si>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</si>
  <si>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</si>
  <si>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</si>
  <si>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</si>
  <si>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</si>
  <si>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</si>
  <si>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</si>
  <si>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</si>
  <si>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</si>
  <si>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</si>
  <si>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</si>
  <si>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</si>
  <si>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</si>
  <si>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</si>
  <si>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</si>
  <si>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פודקאסט</t>
  </si>
  <si>
    <t>0416</t>
  </si>
  <si>
    <t>0211</t>
  </si>
  <si>
    <t>0212</t>
  </si>
  <si>
    <t>0213</t>
  </si>
  <si>
    <t>0214</t>
  </si>
  <si>
    <t>0215</t>
  </si>
  <si>
    <t>0513</t>
  </si>
  <si>
    <t>0720</t>
  </si>
  <si>
    <t>0721</t>
  </si>
  <si>
    <t>0806</t>
  </si>
  <si>
    <t>סה"כ הגשה</t>
  </si>
  <si>
    <t>סה"כ עלות דקה כולל מע"מ</t>
  </si>
  <si>
    <t>תסריטאי/ת</t>
  </si>
  <si>
    <t>ריכוז מערכת</t>
  </si>
  <si>
    <t>תחקירנים/ות</t>
  </si>
  <si>
    <t>טכנאי/ת הקלטה</t>
  </si>
  <si>
    <t>מגיש/ה א'</t>
  </si>
  <si>
    <t>מגיש/ה ב'</t>
  </si>
  <si>
    <t>מגיש/ה ג'</t>
  </si>
  <si>
    <t>אורחים/ות בתשלום</t>
  </si>
  <si>
    <t>עורך/ת סאונד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</si>
</sst>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₪&quot;\ #,##0;&quot;₪&quot;\ \-#,##0"/>
    <numFmt numFmtId="165" formatCode="_ * #,##0.00_ ;_ * \-#,##0.00_ ;_ * &quot;-&quot;??_ ;_ @_ "/>
    <numFmt numFmtId="166" formatCode="#,##0;\-#,##0;\-;@"/>
    <numFmt numFmtId="167" formatCode="_ * #,##0_ ;_ * \-#,##0_ ;_ * &quot;-&quot;??_ ;_ @_ "/>
    <numFmt numFmtId="168" formatCode="_-* #,##0_-;\-* #,##0_-;_-* &quot;-&quot;??_-;_-@_-"/>
    <numFmt numFmtId="169" formatCode="#,##0.00;\-#,##0.00;\-;@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2"/>
      <name val="Arial"/>
      <family val="2"/>
      <charset val="204"/>
      <scheme val="minor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5"/>
      <color rgb="FFC00000"/>
      <name val="Arial"/>
      <family val="2"/>
    </font>
    <font>
      <b/>
      <sz val="14"/>
      <color rgb="FFD1054E"/>
      <name val="Arial"/>
      <family val="2"/>
      <charset val="177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6" fillId="0" borderId="0"/>
    <xf numFmtId="165" fontId="2" fillId="0" borderId="0" applyFont="0" applyFill="0" applyBorder="0" applyAlignment="0" applyProtection="0"/>
    <xf numFmtId="0" fontId="2" fillId="0" borderId="0"/>
  </cellStyleXfs>
  <cellXfs count="321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3" borderId="2" xfId="0" applyFill="1" applyBorder="1"/>
    <xf numFmtId="0" fontId="0" fillId="0" borderId="11" xfId="0" applyBorder="1"/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0" xfId="0" applyBorder="1"/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Fill="1" applyBorder="1" applyAlignment="1" applyProtection="1">
      <alignment readingOrder="1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readingOrder="2"/>
    </xf>
    <xf numFmtId="0" fontId="0" fillId="4" borderId="19" xfId="0" applyFill="1" applyBorder="1" applyAlignment="1" applyProtection="1">
      <alignment horizontal="center"/>
    </xf>
    <xf numFmtId="0" fontId="12" fillId="5" borderId="22" xfId="0" applyFont="1" applyFill="1" applyBorder="1" applyAlignment="1" applyProtection="1">
      <alignment readingOrder="1"/>
    </xf>
    <xf numFmtId="0" fontId="7" fillId="0" borderId="0" xfId="0" applyFont="1"/>
    <xf numFmtId="0" fontId="0" fillId="0" borderId="10" xfId="0" applyBorder="1"/>
    <xf numFmtId="0" fontId="12" fillId="5" borderId="24" xfId="0" applyFont="1" applyFill="1" applyBorder="1" applyAlignment="1" applyProtection="1">
      <alignment readingOrder="1"/>
    </xf>
    <xf numFmtId="0" fontId="12" fillId="5" borderId="25" xfId="0" applyFont="1" applyFill="1" applyBorder="1" applyAlignment="1" applyProtection="1">
      <alignment readingOrder="1"/>
    </xf>
    <xf numFmtId="0" fontId="17" fillId="6" borderId="2" xfId="2" applyFont="1" applyFill="1" applyBorder="1" applyAlignment="1" applyProtection="1">
      <alignment horizontal="center" vertical="center"/>
    </xf>
    <xf numFmtId="0" fontId="17" fillId="6" borderId="3" xfId="2" applyFont="1" applyFill="1" applyBorder="1" applyAlignment="1" applyProtection="1">
      <alignment horizontal="center" vertical="center"/>
    </xf>
    <xf numFmtId="0" fontId="17" fillId="6" borderId="3" xfId="2" applyFont="1" applyFill="1" applyBorder="1" applyAlignment="1" applyProtection="1">
      <alignment horizontal="center"/>
    </xf>
    <xf numFmtId="0" fontId="17" fillId="6" borderId="4" xfId="2" applyFont="1" applyFill="1" applyBorder="1" applyAlignment="1" applyProtection="1">
      <alignment horizontal="center" vertical="center" wrapText="1"/>
    </xf>
    <xf numFmtId="0" fontId="16" fillId="0" borderId="0" xfId="2" applyProtection="1"/>
    <xf numFmtId="0" fontId="14" fillId="7" borderId="2" xfId="2" applyFont="1" applyFill="1" applyBorder="1" applyProtection="1"/>
    <xf numFmtId="0" fontId="14" fillId="7" borderId="3" xfId="2" applyFont="1" applyFill="1" applyBorder="1" applyProtection="1"/>
    <xf numFmtId="0" fontId="14" fillId="7" borderId="4" xfId="2" applyFont="1" applyFill="1" applyBorder="1" applyProtection="1"/>
    <xf numFmtId="0" fontId="18" fillId="0" borderId="5" xfId="2" applyFont="1" applyFill="1" applyBorder="1" applyAlignment="1" applyProtection="1">
      <alignment horizontal="center" vertical="center"/>
    </xf>
    <xf numFmtId="2" fontId="16" fillId="0" borderId="5" xfId="2" applyNumberFormat="1" applyFont="1" applyFill="1" applyBorder="1" applyAlignment="1" applyProtection="1">
      <alignment horizontal="center" vertical="center"/>
    </xf>
    <xf numFmtId="0" fontId="18" fillId="0" borderId="14" xfId="2" applyFont="1" applyFill="1" applyBorder="1" applyAlignment="1" applyProtection="1">
      <alignment vertical="center"/>
    </xf>
    <xf numFmtId="166" fontId="18" fillId="0" borderId="14" xfId="2" applyNumberFormat="1" applyFont="1" applyFill="1" applyBorder="1" applyAlignment="1" applyProtection="1">
      <alignment vertical="center"/>
    </xf>
    <xf numFmtId="0" fontId="18" fillId="0" borderId="9" xfId="2" applyFont="1" applyFill="1" applyBorder="1" applyAlignment="1" applyProtection="1">
      <alignment horizontal="right" vertical="center" wrapText="1"/>
    </xf>
    <xf numFmtId="167" fontId="0" fillId="0" borderId="10" xfId="3" applyNumberFormat="1" applyFont="1" applyBorder="1" applyProtection="1"/>
    <xf numFmtId="167" fontId="0" fillId="0" borderId="0" xfId="3" applyNumberFormat="1" applyFont="1" applyBorder="1" applyProtection="1"/>
    <xf numFmtId="167" fontId="0" fillId="0" borderId="11" xfId="3" applyNumberFormat="1" applyFont="1" applyBorder="1" applyProtection="1"/>
    <xf numFmtId="0" fontId="18" fillId="0" borderId="6" xfId="2" applyFont="1" applyFill="1" applyBorder="1" applyAlignment="1" applyProtection="1">
      <alignment horizontal="center" vertical="center"/>
    </xf>
    <xf numFmtId="2" fontId="16" fillId="0" borderId="6" xfId="2" applyNumberFormat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vertical="center"/>
    </xf>
    <xf numFmtId="166" fontId="18" fillId="0" borderId="0" xfId="2" applyNumberFormat="1" applyFont="1" applyFill="1" applyBorder="1" applyAlignment="1" applyProtection="1">
      <alignment vertical="center"/>
    </xf>
    <xf numFmtId="0" fontId="18" fillId="0" borderId="11" xfId="2" applyFont="1" applyFill="1" applyBorder="1" applyAlignment="1" applyProtection="1">
      <alignment horizontal="right" vertical="center" wrapText="1"/>
    </xf>
    <xf numFmtId="1" fontId="16" fillId="8" borderId="6" xfId="2" applyNumberFormat="1" applyFont="1" applyFill="1" applyBorder="1" applyAlignment="1" applyProtection="1">
      <alignment horizontal="center" vertical="center"/>
    </xf>
    <xf numFmtId="0" fontId="19" fillId="8" borderId="0" xfId="2" applyFont="1" applyFill="1" applyBorder="1" applyAlignment="1" applyProtection="1">
      <alignment horizontal="right" readingOrder="2"/>
    </xf>
    <xf numFmtId="0" fontId="18" fillId="8" borderId="0" xfId="2" applyFont="1" applyFill="1" applyBorder="1" applyAlignment="1" applyProtection="1">
      <alignment vertical="center"/>
    </xf>
    <xf numFmtId="166" fontId="18" fillId="8" borderId="0" xfId="2" applyNumberFormat="1" applyFont="1" applyFill="1" applyBorder="1" applyAlignment="1" applyProtection="1">
      <alignment vertical="center"/>
    </xf>
    <xf numFmtId="0" fontId="18" fillId="8" borderId="11" xfId="2" applyFont="1" applyFill="1" applyBorder="1" applyAlignment="1" applyProtection="1">
      <alignment horizontal="right" vertical="center" wrapText="1"/>
    </xf>
    <xf numFmtId="2" fontId="16" fillId="0" borderId="6" xfId="2" quotePrefix="1" applyNumberFormat="1" applyFont="1" applyFill="1" applyBorder="1" applyAlignment="1" applyProtection="1">
      <alignment horizontal="center" vertical="center"/>
    </xf>
    <xf numFmtId="0" fontId="19" fillId="0" borderId="0" xfId="2" applyFont="1" applyFill="1" applyBorder="1" applyAlignment="1" applyProtection="1">
      <alignment horizontal="right" readingOrder="2"/>
    </xf>
    <xf numFmtId="2" fontId="16" fillId="8" borderId="6" xfId="2" quotePrefix="1" applyNumberFormat="1" applyFont="1" applyFill="1" applyBorder="1" applyAlignment="1" applyProtection="1">
      <alignment horizontal="center" vertical="center"/>
    </xf>
    <xf numFmtId="0" fontId="16" fillId="0" borderId="0" xfId="2" applyFont="1" applyProtection="1"/>
    <xf numFmtId="1" fontId="16" fillId="0" borderId="6" xfId="2" applyNumberFormat="1" applyFont="1" applyFill="1" applyBorder="1" applyAlignment="1" applyProtection="1">
      <alignment horizontal="center" vertical="center"/>
    </xf>
    <xf numFmtId="0" fontId="19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6" fillId="0" borderId="0" xfId="2" applyFill="1" applyProtection="1"/>
    <xf numFmtId="0" fontId="2" fillId="0" borderId="11" xfId="2" applyFont="1" applyFill="1" applyBorder="1" applyAlignment="1" applyProtection="1">
      <alignment horizontal="right" vertical="center" wrapText="1" readingOrder="2"/>
    </xf>
    <xf numFmtId="3" fontId="18" fillId="8" borderId="0" xfId="2" applyNumberFormat="1" applyFont="1" applyFill="1" applyBorder="1" applyAlignment="1" applyProtection="1">
      <alignment vertical="center"/>
    </xf>
    <xf numFmtId="0" fontId="17" fillId="0" borderId="5" xfId="2" applyFont="1" applyFill="1" applyBorder="1" applyAlignment="1" applyProtection="1">
      <alignment horizontal="center" vertical="center"/>
    </xf>
    <xf numFmtId="3" fontId="18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7" fillId="0" borderId="6" xfId="2" applyFont="1" applyFill="1" applyBorder="1" applyAlignment="1" applyProtection="1">
      <alignment horizontal="center" vertical="center"/>
    </xf>
    <xf numFmtId="3" fontId="18" fillId="0" borderId="0" xfId="2" applyNumberFormat="1" applyFont="1" applyFill="1" applyBorder="1" applyAlignment="1" applyProtection="1">
      <alignment vertical="center"/>
    </xf>
    <xf numFmtId="2" fontId="16" fillId="8" borderId="6" xfId="2" applyNumberFormat="1" applyFont="1" applyFill="1" applyBorder="1" applyAlignment="1" applyProtection="1">
      <alignment horizontal="center" vertical="center"/>
    </xf>
    <xf numFmtId="0" fontId="17" fillId="8" borderId="6" xfId="2" applyFont="1" applyFill="1" applyBorder="1" applyAlignment="1" applyProtection="1">
      <alignment horizontal="center" vertical="center"/>
    </xf>
    <xf numFmtId="0" fontId="19" fillId="8" borderId="10" xfId="2" applyFont="1" applyFill="1" applyBorder="1" applyAlignment="1" applyProtection="1">
      <alignment vertical="center" readingOrder="1"/>
    </xf>
    <xf numFmtId="49" fontId="16" fillId="0" borderId="0" xfId="2" applyNumberFormat="1" applyFont="1" applyAlignment="1" applyProtection="1">
      <alignment horizontal="center"/>
    </xf>
    <xf numFmtId="2" fontId="16" fillId="8" borderId="7" xfId="2" applyNumberFormat="1" applyFont="1" applyFill="1" applyBorder="1" applyAlignment="1" applyProtection="1">
      <alignment horizontal="center" vertical="center"/>
    </xf>
    <xf numFmtId="0" fontId="17" fillId="8" borderId="7" xfId="2" applyFont="1" applyFill="1" applyBorder="1" applyAlignment="1" applyProtection="1">
      <alignment horizontal="center" vertical="center"/>
    </xf>
    <xf numFmtId="0" fontId="18" fillId="8" borderId="15" xfId="2" applyFont="1" applyFill="1" applyBorder="1" applyAlignment="1" applyProtection="1">
      <alignment vertical="center"/>
    </xf>
    <xf numFmtId="3" fontId="18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10" fillId="0" borderId="10" xfId="2" applyFont="1" applyFill="1" applyBorder="1" applyAlignment="1" applyProtection="1">
      <alignment readingOrder="1"/>
    </xf>
    <xf numFmtId="1" fontId="16" fillId="8" borderId="7" xfId="2" applyNumberFormat="1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readingOrder="1"/>
    </xf>
    <xf numFmtId="0" fontId="20" fillId="8" borderId="6" xfId="2" applyFont="1" applyFill="1" applyBorder="1" applyAlignment="1" applyProtection="1">
      <alignment horizontal="center" vertical="center"/>
    </xf>
    <xf numFmtId="0" fontId="10" fillId="8" borderId="0" xfId="2" applyFont="1" applyFill="1" applyBorder="1" applyAlignment="1" applyProtection="1">
      <alignment readingOrder="1"/>
    </xf>
    <xf numFmtId="1" fontId="16" fillId="0" borderId="6" xfId="2" quotePrefix="1" applyNumberFormat="1" applyFont="1" applyFill="1" applyBorder="1" applyAlignment="1" applyProtection="1">
      <alignment horizontal="center" vertical="center"/>
    </xf>
    <xf numFmtId="1" fontId="16" fillId="8" borderId="6" xfId="2" quotePrefix="1" applyNumberFormat="1" applyFont="1" applyFill="1" applyBorder="1" applyAlignment="1" applyProtection="1">
      <alignment horizontal="center" vertical="center"/>
    </xf>
    <xf numFmtId="0" fontId="18" fillId="8" borderId="14" xfId="2" applyFont="1" applyFill="1" applyBorder="1" applyAlignment="1" applyProtection="1">
      <alignment vertical="center"/>
    </xf>
    <xf numFmtId="3" fontId="18" fillId="8" borderId="14" xfId="2" applyNumberFormat="1" applyFont="1" applyFill="1" applyBorder="1" applyAlignment="1" applyProtection="1">
      <alignment vertical="center"/>
    </xf>
    <xf numFmtId="0" fontId="10" fillId="8" borderId="0" xfId="2" applyFont="1" applyFill="1" applyBorder="1" applyAlignment="1" applyProtection="1"/>
    <xf numFmtId="0" fontId="10" fillId="0" borderId="0" xfId="2" applyFont="1" applyFill="1" applyBorder="1" applyAlignment="1" applyProtection="1"/>
    <xf numFmtId="0" fontId="10" fillId="8" borderId="0" xfId="2" applyFont="1" applyFill="1" applyBorder="1" applyAlignment="1" applyProtection="1">
      <alignment readingOrder="2"/>
    </xf>
    <xf numFmtId="0" fontId="10" fillId="0" borderId="0" xfId="2" applyFont="1" applyFill="1" applyBorder="1" applyAlignment="1" applyProtection="1">
      <alignment readingOrder="2"/>
    </xf>
    <xf numFmtId="0" fontId="20" fillId="8" borderId="7" xfId="2" applyFont="1" applyFill="1" applyBorder="1" applyAlignment="1" applyProtection="1">
      <alignment horizontal="center" vertical="center"/>
    </xf>
    <xf numFmtId="0" fontId="18" fillId="8" borderId="13" xfId="2" applyFont="1" applyFill="1" applyBorder="1" applyAlignment="1" applyProtection="1">
      <alignment horizontal="right" vertical="center" wrapText="1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9" fillId="8" borderId="10" xfId="2" applyFont="1" applyFill="1" applyBorder="1" applyAlignment="1" applyProtection="1">
      <alignment horizontal="right" vertical="center" readingOrder="1"/>
    </xf>
    <xf numFmtId="0" fontId="19" fillId="0" borderId="10" xfId="2" applyFont="1" applyFill="1" applyBorder="1" applyAlignment="1" applyProtection="1">
      <alignment horizontal="right" vertical="center" readingOrder="1"/>
    </xf>
    <xf numFmtId="0" fontId="18" fillId="0" borderId="7" xfId="2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0" fontId="18" fillId="0" borderId="0" xfId="2" applyFont="1" applyFill="1" applyProtection="1"/>
    <xf numFmtId="0" fontId="18" fillId="0" borderId="0" xfId="2" applyFont="1" applyFill="1" applyAlignment="1" applyProtection="1">
      <alignment vertical="center"/>
    </xf>
    <xf numFmtId="0" fontId="18" fillId="0" borderId="0" xfId="2" applyFont="1" applyFill="1" applyAlignment="1" applyProtection="1">
      <alignment horizontal="right" vertical="center" wrapText="1"/>
    </xf>
    <xf numFmtId="0" fontId="16" fillId="0" borderId="2" xfId="2" applyBorder="1" applyProtection="1"/>
    <xf numFmtId="0" fontId="16" fillId="0" borderId="3" xfId="2" applyBorder="1" applyProtection="1"/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12" fillId="5" borderId="26" xfId="0" applyFont="1" applyFill="1" applyBorder="1" applyAlignment="1" applyProtection="1">
      <alignment readingOrder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21" fillId="5" borderId="22" xfId="0" applyFont="1" applyFill="1" applyBorder="1" applyAlignment="1" applyProtection="1">
      <alignment readingOrder="1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5" xfId="0" applyFont="1" applyFill="1" applyBorder="1"/>
    <xf numFmtId="0" fontId="7" fillId="3" borderId="7" xfId="0" applyFont="1" applyFill="1" applyBorder="1"/>
    <xf numFmtId="0" fontId="15" fillId="3" borderId="8" xfId="0" applyFont="1" applyFill="1" applyBorder="1"/>
    <xf numFmtId="0" fontId="15" fillId="3" borderId="10" xfId="0" applyFont="1" applyFill="1" applyBorder="1"/>
    <xf numFmtId="0" fontId="15" fillId="3" borderId="12" xfId="0" applyFont="1" applyFill="1" applyBorder="1"/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5" fillId="3" borderId="14" xfId="0" applyFont="1" applyFill="1" applyBorder="1"/>
    <xf numFmtId="0" fontId="15" fillId="3" borderId="0" xfId="0" applyFont="1" applyFill="1" applyBorder="1"/>
    <xf numFmtId="0" fontId="15" fillId="3" borderId="15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4" fillId="0" borderId="0" xfId="0" applyFont="1"/>
    <xf numFmtId="0" fontId="25" fillId="0" borderId="0" xfId="2" applyFont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16" fillId="0" borderId="0" xfId="2" applyAlignment="1">
      <alignment horizontal="center" vertical="center" wrapText="1"/>
    </xf>
    <xf numFmtId="0" fontId="27" fillId="9" borderId="27" xfId="2" applyFont="1" applyFill="1" applyBorder="1"/>
    <xf numFmtId="0" fontId="28" fillId="0" borderId="0" xfId="2" applyFont="1"/>
    <xf numFmtId="0" fontId="16" fillId="0" borderId="0" xfId="2"/>
    <xf numFmtId="0" fontId="27" fillId="0" borderId="0" xfId="2" applyFont="1"/>
    <xf numFmtId="0" fontId="27" fillId="9" borderId="0" xfId="2" applyFont="1" applyFill="1"/>
    <xf numFmtId="0" fontId="27" fillId="0" borderId="0" xfId="2" applyFont="1" applyBorder="1"/>
    <xf numFmtId="0" fontId="2" fillId="0" borderId="0" xfId="2" applyFont="1" applyAlignment="1" applyProtection="1">
      <alignment vertical="center"/>
    </xf>
    <xf numFmtId="0" fontId="28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2" fillId="5" borderId="22" xfId="0" applyFont="1" applyFill="1" applyBorder="1" applyAlignment="1" applyProtection="1">
      <alignment horizontal="center" readingOrder="1"/>
    </xf>
    <xf numFmtId="0" fontId="11" fillId="0" borderId="0" xfId="0" applyFont="1" applyBorder="1"/>
    <xf numFmtId="0" fontId="0" fillId="0" borderId="0" xfId="0" applyAlignment="1">
      <alignment vertical="center"/>
    </xf>
    <xf numFmtId="0" fontId="29" fillId="5" borderId="28" xfId="0" applyFont="1" applyFill="1" applyBorder="1" applyAlignment="1" applyProtection="1">
      <alignment vertical="center" readingOrder="1"/>
    </xf>
    <xf numFmtId="0" fontId="29" fillId="5" borderId="29" xfId="0" applyFont="1" applyFill="1" applyBorder="1" applyAlignment="1" applyProtection="1">
      <alignment vertical="center" readingOrder="1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166" fontId="15" fillId="0" borderId="6" xfId="0" applyNumberFormat="1" applyFont="1" applyBorder="1" applyAlignment="1">
      <alignment horizontal="right" indent="1"/>
    </xf>
    <xf numFmtId="166" fontId="15" fillId="0" borderId="7" xfId="0" applyNumberFormat="1" applyFont="1" applyBorder="1" applyAlignment="1">
      <alignment horizontal="right" indent="1"/>
    </xf>
    <xf numFmtId="166" fontId="11" fillId="4" borderId="18" xfId="0" applyNumberFormat="1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166" fontId="11" fillId="4" borderId="20" xfId="0" applyNumberFormat="1" applyFont="1" applyFill="1" applyBorder="1" applyAlignment="1" applyProtection="1">
      <alignment horizontal="center"/>
      <protection locked="0"/>
    </xf>
    <xf numFmtId="166" fontId="11" fillId="4" borderId="21" xfId="0" applyNumberFormat="1" applyFont="1" applyFill="1" applyBorder="1" applyAlignment="1" applyProtection="1">
      <alignment horizontal="center"/>
      <protection locked="0"/>
    </xf>
    <xf numFmtId="166" fontId="11" fillId="4" borderId="16" xfId="0" applyNumberFormat="1" applyFont="1" applyFill="1" applyBorder="1" applyAlignment="1" applyProtection="1">
      <alignment horizontal="center"/>
      <protection locked="0"/>
    </xf>
    <xf numFmtId="166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</xf>
    <xf numFmtId="0" fontId="32" fillId="0" borderId="11" xfId="0" applyFont="1" applyBorder="1"/>
    <xf numFmtId="0" fontId="11" fillId="0" borderId="11" xfId="0" applyFont="1" applyBorder="1"/>
    <xf numFmtId="10" fontId="33" fillId="0" borderId="0" xfId="0" applyNumberFormat="1" applyFont="1" applyBorder="1"/>
    <xf numFmtId="0" fontId="12" fillId="5" borderId="22" xfId="0" applyFont="1" applyFill="1" applyBorder="1" applyAlignment="1" applyProtection="1">
      <alignment vertical="center" readingOrder="1"/>
    </xf>
    <xf numFmtId="0" fontId="12" fillId="5" borderId="22" xfId="0" applyFont="1" applyFill="1" applyBorder="1" applyAlignment="1" applyProtection="1">
      <alignment horizontal="center" vertical="center" readingOrder="1"/>
    </xf>
    <xf numFmtId="0" fontId="35" fillId="5" borderId="22" xfId="0" applyFont="1" applyFill="1" applyBorder="1" applyAlignment="1" applyProtection="1">
      <alignment vertical="center" readingOrder="1"/>
    </xf>
    <xf numFmtId="0" fontId="34" fillId="5" borderId="24" xfId="0" applyFont="1" applyFill="1" applyBorder="1" applyAlignment="1" applyProtection="1">
      <alignment vertical="center" readingOrder="1"/>
    </xf>
    <xf numFmtId="0" fontId="34" fillId="5" borderId="22" xfId="0" applyFont="1" applyFill="1" applyBorder="1" applyAlignment="1" applyProtection="1">
      <alignment vertical="center" readingOrder="1"/>
    </xf>
    <xf numFmtId="0" fontId="34" fillId="5" borderId="25" xfId="0" applyFont="1" applyFill="1" applyBorder="1" applyAlignment="1" applyProtection="1">
      <alignment vertical="center" readingOrder="1"/>
    </xf>
    <xf numFmtId="0" fontId="21" fillId="5" borderId="22" xfId="0" applyFont="1" applyFill="1" applyBorder="1" applyAlignment="1" applyProtection="1">
      <alignment vertical="center" readingOrder="1"/>
    </xf>
    <xf numFmtId="10" fontId="15" fillId="0" borderId="0" xfId="0" applyNumberFormat="1" applyFont="1" applyBorder="1" applyProtection="1">
      <protection locked="0"/>
    </xf>
    <xf numFmtId="10" fontId="33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15" fillId="3" borderId="1" xfId="0" applyFont="1" applyFill="1" applyBorder="1" applyAlignment="1" applyProtection="1">
      <alignment vertical="center"/>
    </xf>
    <xf numFmtId="0" fontId="32" fillId="3" borderId="2" xfId="0" applyFont="1" applyFill="1" applyBorder="1" applyAlignment="1" applyProtection="1">
      <alignment vertical="center"/>
    </xf>
    <xf numFmtId="0" fontId="37" fillId="3" borderId="3" xfId="0" applyFont="1" applyFill="1" applyBorder="1" applyAlignment="1" applyProtection="1">
      <alignment horizontal="center" vertical="center"/>
    </xf>
    <xf numFmtId="0" fontId="37" fillId="3" borderId="4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vertical="center"/>
    </xf>
    <xf numFmtId="0" fontId="30" fillId="2" borderId="8" xfId="0" applyFont="1" applyFill="1" applyBorder="1" applyAlignment="1" applyProtection="1">
      <alignment horizontal="center" vertical="center"/>
    </xf>
    <xf numFmtId="166" fontId="30" fillId="2" borderId="9" xfId="0" applyNumberFormat="1" applyFont="1" applyFill="1" applyBorder="1" applyAlignment="1" applyProtection="1">
      <alignment horizontal="center" vertical="center"/>
    </xf>
    <xf numFmtId="0" fontId="31" fillId="10" borderId="24" xfId="0" applyFont="1" applyFill="1" applyBorder="1" applyAlignment="1" applyProtection="1">
      <alignment vertical="center"/>
    </xf>
    <xf numFmtId="0" fontId="31" fillId="10" borderId="22" xfId="0" applyFont="1" applyFill="1" applyBorder="1" applyAlignment="1" applyProtection="1">
      <alignment vertical="center"/>
    </xf>
    <xf numFmtId="10" fontId="30" fillId="0" borderId="0" xfId="0" applyNumberFormat="1" applyFont="1" applyBorder="1" applyAlignment="1" applyProtection="1">
      <alignment vertical="center"/>
    </xf>
    <xf numFmtId="0" fontId="15" fillId="3" borderId="7" xfId="0" applyFont="1" applyFill="1" applyBorder="1" applyAlignment="1" applyProtection="1">
      <alignment vertical="center"/>
    </xf>
    <xf numFmtId="166" fontId="30" fillId="2" borderId="12" xfId="0" applyNumberFormat="1" applyFont="1" applyFill="1" applyBorder="1" applyAlignment="1" applyProtection="1">
      <alignment horizontal="center" vertical="center"/>
    </xf>
    <xf numFmtId="166" fontId="30" fillId="2" borderId="13" xfId="0" applyNumberFormat="1" applyFont="1" applyFill="1" applyBorder="1" applyAlignment="1" applyProtection="1">
      <alignment horizontal="center" vertical="center"/>
    </xf>
    <xf numFmtId="167" fontId="0" fillId="0" borderId="4" xfId="3" applyNumberFormat="1" applyFont="1" applyBorder="1" applyProtection="1"/>
    <xf numFmtId="167" fontId="0" fillId="0" borderId="1" xfId="3" applyNumberFormat="1" applyFont="1" applyBorder="1" applyProtection="1"/>
    <xf numFmtId="167" fontId="16" fillId="0" borderId="0" xfId="2" applyNumberFormat="1" applyProtection="1"/>
    <xf numFmtId="0" fontId="18" fillId="8" borderId="6" xfId="2" applyFont="1" applyFill="1" applyBorder="1" applyAlignment="1" applyProtection="1">
      <alignment horizontal="center" vertical="center"/>
    </xf>
    <xf numFmtId="0" fontId="18" fillId="8" borderId="7" xfId="2" applyFont="1" applyFill="1" applyBorder="1" applyAlignment="1" applyProtection="1">
      <alignment horizontal="center" vertical="center"/>
    </xf>
    <xf numFmtId="0" fontId="10" fillId="0" borderId="14" xfId="2" applyFont="1" applyFill="1" applyBorder="1" applyAlignment="1" applyProtection="1">
      <alignment readingOrder="1"/>
    </xf>
    <xf numFmtId="0" fontId="20" fillId="0" borderId="5" xfId="2" applyFont="1" applyFill="1" applyBorder="1" applyAlignment="1" applyProtection="1">
      <alignment horizontal="center" vertical="center"/>
    </xf>
    <xf numFmtId="0" fontId="11" fillId="0" borderId="0" xfId="0" applyFont="1" applyFill="1" applyBorder="1"/>
    <xf numFmtId="2" fontId="16" fillId="0" borderId="5" xfId="2" quotePrefix="1" applyNumberFormat="1" applyFont="1" applyFill="1" applyBorder="1" applyAlignment="1" applyProtection="1">
      <alignment horizontal="center" vertical="center"/>
    </xf>
    <xf numFmtId="0" fontId="19" fillId="8" borderId="15" xfId="2" applyFont="1" applyFill="1" applyBorder="1" applyAlignment="1" applyProtection="1">
      <alignment readingOrder="1"/>
    </xf>
    <xf numFmtId="0" fontId="18" fillId="8" borderId="5" xfId="2" applyFont="1" applyFill="1" applyBorder="1" applyAlignment="1" applyProtection="1">
      <alignment horizontal="center" vertical="center"/>
    </xf>
    <xf numFmtId="2" fontId="16" fillId="0" borderId="1" xfId="2" applyNumberFormat="1" applyFont="1" applyFill="1" applyBorder="1" applyAlignment="1" applyProtection="1">
      <alignment horizontal="center" vertical="center"/>
    </xf>
    <xf numFmtId="0" fontId="18" fillId="0" borderId="3" xfId="2" applyFont="1" applyFill="1" applyBorder="1" applyAlignment="1" applyProtection="1">
      <alignment vertical="center"/>
    </xf>
    <xf numFmtId="168" fontId="19" fillId="0" borderId="3" xfId="3" applyNumberFormat="1" applyFont="1" applyFill="1" applyBorder="1" applyAlignment="1" applyProtection="1">
      <alignment readingOrder="1"/>
    </xf>
    <xf numFmtId="0" fontId="18" fillId="0" borderId="4" xfId="2" applyFont="1" applyFill="1" applyBorder="1" applyAlignment="1" applyProtection="1">
      <alignment horizontal="right" vertical="center" wrapText="1"/>
    </xf>
    <xf numFmtId="0" fontId="19" fillId="8" borderId="12" xfId="2" applyFont="1" applyFill="1" applyBorder="1" applyAlignment="1" applyProtection="1">
      <alignment vertical="center" readingOrder="1"/>
    </xf>
    <xf numFmtId="0" fontId="17" fillId="0" borderId="1" xfId="2" applyNumberFormat="1" applyFont="1" applyFill="1" applyBorder="1" applyAlignment="1">
      <alignment horizontal="center" vertical="center"/>
    </xf>
    <xf numFmtId="0" fontId="12" fillId="5" borderId="26" xfId="0" applyFont="1" applyFill="1" applyBorder="1" applyAlignment="1" applyProtection="1">
      <alignment vertical="center" readingOrder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 applyProtection="1">
      <alignment horizontal="center" vertical="center" wrapText="1"/>
    </xf>
    <xf numFmtId="0" fontId="9" fillId="11" borderId="3" xfId="0" applyFont="1" applyFill="1" applyBorder="1" applyAlignment="1">
      <alignment horizontal="right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 applyProtection="1">
      <alignment horizontal="center" vertical="center" wrapText="1"/>
    </xf>
    <xf numFmtId="0" fontId="9" fillId="11" borderId="2" xfId="0" applyFont="1" applyFill="1" applyBorder="1" applyAlignment="1">
      <alignment horizontal="right" vertical="center" wrapText="1"/>
    </xf>
    <xf numFmtId="0" fontId="9" fillId="11" borderId="4" xfId="0" applyFont="1" applyFill="1" applyBorder="1" applyAlignment="1">
      <alignment horizontal="right" vertical="center" wrapText="1"/>
    </xf>
    <xf numFmtId="0" fontId="13" fillId="11" borderId="3" xfId="0" applyFont="1" applyFill="1" applyBorder="1" applyAlignment="1">
      <alignment horizontal="right" vertical="center" wrapText="1"/>
    </xf>
    <xf numFmtId="0" fontId="9" fillId="11" borderId="1" xfId="0" applyFont="1" applyFill="1" applyBorder="1" applyAlignment="1">
      <alignment horizontal="right" vertical="center" wrapText="1"/>
    </xf>
    <xf numFmtId="0" fontId="12" fillId="11" borderId="22" xfId="0" applyFont="1" applyFill="1" applyBorder="1" applyAlignment="1" applyProtection="1">
      <alignment readingOrder="1"/>
    </xf>
    <xf numFmtId="0" fontId="12" fillId="11" borderId="22" xfId="0" applyFont="1" applyFill="1" applyBorder="1" applyAlignment="1" applyProtection="1">
      <alignment horizontal="center" readingOrder="1"/>
    </xf>
    <xf numFmtId="0" fontId="12" fillId="11" borderId="24" xfId="0" applyFont="1" applyFill="1" applyBorder="1" applyAlignment="1" applyProtection="1">
      <alignment readingOrder="1"/>
    </xf>
    <xf numFmtId="0" fontId="12" fillId="11" borderId="25" xfId="0" applyFont="1" applyFill="1" applyBorder="1" applyAlignment="1" applyProtection="1">
      <alignment readingOrder="1"/>
    </xf>
    <xf numFmtId="0" fontId="21" fillId="11" borderId="22" xfId="0" applyFont="1" applyFill="1" applyBorder="1" applyAlignment="1" applyProtection="1">
      <alignment readingOrder="1"/>
    </xf>
    <xf numFmtId="0" fontId="12" fillId="11" borderId="26" xfId="0" applyFont="1" applyFill="1" applyBorder="1" applyAlignment="1" applyProtection="1">
      <alignment readingOrder="1"/>
    </xf>
    <xf numFmtId="1" fontId="16" fillId="0" borderId="5" xfId="2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8" fillId="0" borderId="8" xfId="2" applyFont="1" applyFill="1" applyBorder="1" applyAlignment="1" applyProtection="1">
      <alignment vertical="center"/>
    </xf>
    <xf numFmtId="0" fontId="18" fillId="0" borderId="10" xfId="2" applyFont="1" applyFill="1" applyBorder="1" applyAlignment="1" applyProtection="1">
      <alignment vertical="center"/>
    </xf>
    <xf numFmtId="166" fontId="18" fillId="8" borderId="15" xfId="2" applyNumberFormat="1" applyFont="1" applyFill="1" applyBorder="1" applyAlignment="1" applyProtection="1">
      <alignment vertical="center"/>
    </xf>
    <xf numFmtId="1" fontId="16" fillId="8" borderId="7" xfId="2" quotePrefix="1" applyNumberFormat="1" applyFont="1" applyFill="1" applyBorder="1" applyAlignment="1" applyProtection="1">
      <alignment horizontal="center" vertical="center"/>
    </xf>
    <xf numFmtId="1" fontId="16" fillId="8" borderId="5" xfId="2" quotePrefix="1" applyNumberFormat="1" applyFont="1" applyFill="1" applyBorder="1" applyAlignment="1" applyProtection="1">
      <alignment horizontal="center" vertical="center"/>
    </xf>
    <xf numFmtId="0" fontId="17" fillId="8" borderId="5" xfId="2" applyFont="1" applyFill="1" applyBorder="1" applyAlignment="1" applyProtection="1">
      <alignment horizontal="center" vertical="center"/>
    </xf>
    <xf numFmtId="0" fontId="10" fillId="8" borderId="8" xfId="2" applyFont="1" applyFill="1" applyBorder="1" applyAlignment="1" applyProtection="1">
      <alignment readingOrder="2"/>
    </xf>
    <xf numFmtId="0" fontId="10" fillId="8" borderId="10" xfId="2" applyFont="1" applyFill="1" applyBorder="1" applyAlignment="1" applyProtection="1">
      <alignment readingOrder="2"/>
    </xf>
    <xf numFmtId="0" fontId="10" fillId="8" borderId="15" xfId="2" applyFont="1" applyFill="1" applyBorder="1" applyAlignment="1" applyProtection="1">
      <alignment readingOrder="1"/>
    </xf>
    <xf numFmtId="0" fontId="16" fillId="0" borderId="0" xfId="2" applyBorder="1" applyProtection="1"/>
    <xf numFmtId="0" fontId="16" fillId="0" borderId="11" xfId="2" applyBorder="1" applyProtection="1"/>
    <xf numFmtId="0" fontId="10" fillId="0" borderId="11" xfId="0" applyFont="1" applyFill="1" applyBorder="1" applyAlignment="1" applyProtection="1">
      <alignment readingOrder="2"/>
    </xf>
    <xf numFmtId="0" fontId="2" fillId="0" borderId="0" xfId="2" applyFont="1" applyFill="1" applyBorder="1" applyAlignment="1" applyProtection="1">
      <alignment horizontal="right" vertical="center" wrapText="1" readingOrder="2"/>
    </xf>
    <xf numFmtId="0" fontId="10" fillId="0" borderId="14" xfId="2" applyFont="1" applyFill="1" applyBorder="1" applyAlignment="1" applyProtection="1"/>
    <xf numFmtId="164" fontId="27" fillId="9" borderId="27" xfId="2" quotePrefix="1" applyNumberFormat="1" applyFont="1" applyFill="1" applyBorder="1" applyAlignment="1">
      <alignment horizontal="right"/>
    </xf>
    <xf numFmtId="0" fontId="28" fillId="0" borderId="0" xfId="2" applyFont="1" applyAlignment="1">
      <alignment horizontal="center"/>
    </xf>
    <xf numFmtId="164" fontId="27" fillId="0" borderId="0" xfId="2" quotePrefix="1" applyNumberFormat="1" applyFont="1" applyAlignment="1">
      <alignment horizontal="right"/>
    </xf>
    <xf numFmtId="164" fontId="27" fillId="9" borderId="0" xfId="2" applyNumberFormat="1" applyFont="1" applyFill="1" applyAlignment="1">
      <alignment horizontal="right"/>
    </xf>
    <xf numFmtId="164" fontId="27" fillId="0" borderId="0" xfId="2" applyNumberFormat="1" applyFont="1" applyAlignment="1">
      <alignment horizontal="right"/>
    </xf>
    <xf numFmtId="164" fontId="27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/>
    <xf numFmtId="0" fontId="16" fillId="0" borderId="0" xfId="2" applyAlignment="1">
      <alignment horizontal="center"/>
    </xf>
    <xf numFmtId="0" fontId="18" fillId="0" borderId="0" xfId="2" applyFont="1" applyFill="1" applyBorder="1" applyAlignment="1" applyProtection="1">
      <alignment horizontal="right" readingOrder="2"/>
    </xf>
    <xf numFmtId="0" fontId="17" fillId="6" borderId="0" xfId="2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vertical="center"/>
    </xf>
    <xf numFmtId="2" fontId="11" fillId="4" borderId="20" xfId="0" applyNumberFormat="1" applyFont="1" applyFill="1" applyBorder="1" applyAlignment="1" applyProtection="1">
      <alignment horizontal="center"/>
      <protection locked="0"/>
    </xf>
    <xf numFmtId="2" fontId="3" fillId="11" borderId="3" xfId="0" applyNumberFormat="1" applyFont="1" applyFill="1" applyBorder="1" applyAlignment="1">
      <alignment horizontal="center" vertical="center" wrapText="1"/>
    </xf>
    <xf numFmtId="2" fontId="11" fillId="4" borderId="17" xfId="0" applyNumberFormat="1" applyFont="1" applyFill="1" applyBorder="1" applyAlignment="1" applyProtection="1">
      <alignment horizontal="center"/>
      <protection locked="0"/>
    </xf>
    <xf numFmtId="2" fontId="9" fillId="11" borderId="3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169" fontId="11" fillId="0" borderId="0" xfId="0" applyNumberFormat="1" applyFont="1" applyBorder="1" applyAlignment="1">
      <alignment horizontal="right" indent="1"/>
    </xf>
    <xf numFmtId="169" fontId="12" fillId="11" borderId="3" xfId="0" applyNumberFormat="1" applyFont="1" applyFill="1" applyBorder="1" applyAlignment="1" applyProtection="1">
      <alignment horizontal="right" indent="1" readingOrder="1"/>
    </xf>
    <xf numFmtId="169" fontId="32" fillId="0" borderId="0" xfId="0" applyNumberFormat="1" applyFont="1" applyBorder="1" applyAlignment="1">
      <alignment horizontal="right" indent="1"/>
    </xf>
    <xf numFmtId="169" fontId="12" fillId="11" borderId="22" xfId="0" applyNumberFormat="1" applyFont="1" applyFill="1" applyBorder="1" applyAlignment="1" applyProtection="1">
      <alignment horizontal="right" indent="1" readingOrder="1"/>
    </xf>
    <xf numFmtId="169" fontId="12" fillId="5" borderId="22" xfId="0" applyNumberFormat="1" applyFont="1" applyFill="1" applyBorder="1" applyAlignment="1" applyProtection="1">
      <alignment horizontal="right" indent="1" readingOrder="1"/>
    </xf>
    <xf numFmtId="169" fontId="36" fillId="5" borderId="22" xfId="0" applyNumberFormat="1" applyFont="1" applyFill="1" applyBorder="1" applyAlignment="1" applyProtection="1">
      <alignment horizontal="right" vertical="center" indent="1" readingOrder="1"/>
    </xf>
    <xf numFmtId="169" fontId="0" fillId="0" borderId="0" xfId="0" applyNumberFormat="1" applyBorder="1" applyAlignment="1">
      <alignment horizontal="right" indent="1"/>
    </xf>
    <xf numFmtId="0" fontId="15" fillId="0" borderId="0" xfId="0" applyFont="1" applyBorder="1"/>
    <xf numFmtId="0" fontId="12" fillId="5" borderId="24" xfId="0" applyFont="1" applyFill="1" applyBorder="1" applyAlignment="1" applyProtection="1">
      <alignment vertical="center" readingOrder="1"/>
    </xf>
    <xf numFmtId="166" fontId="11" fillId="4" borderId="19" xfId="0" applyNumberFormat="1" applyFont="1" applyFill="1" applyBorder="1" applyAlignment="1" applyProtection="1">
      <alignment horizontal="center"/>
    </xf>
    <xf numFmtId="0" fontId="11" fillId="4" borderId="19" xfId="0" applyFont="1" applyFill="1" applyBorder="1" applyAlignment="1" applyProtection="1">
      <alignment horizontal="center"/>
      <protection locked="0"/>
    </xf>
    <xf numFmtId="169" fontId="30" fillId="0" borderId="0" xfId="0" applyNumberFormat="1" applyFont="1" applyBorder="1" applyAlignment="1" applyProtection="1">
      <alignment vertical="center"/>
    </xf>
    <xf numFmtId="169" fontId="30" fillId="0" borderId="11" xfId="0" applyNumberFormat="1" applyFont="1" applyBorder="1" applyAlignment="1" applyProtection="1">
      <alignment vertical="center"/>
    </xf>
    <xf numFmtId="169" fontId="31" fillId="10" borderId="22" xfId="0" applyNumberFormat="1" applyFont="1" applyFill="1" applyBorder="1" applyAlignment="1" applyProtection="1">
      <alignment vertical="center"/>
    </xf>
    <xf numFmtId="169" fontId="31" fillId="10" borderId="25" xfId="0" applyNumberFormat="1" applyFont="1" applyFill="1" applyBorder="1" applyAlignment="1" applyProtection="1">
      <alignment vertical="center"/>
    </xf>
    <xf numFmtId="169" fontId="29" fillId="5" borderId="29" xfId="0" applyNumberFormat="1" applyFont="1" applyFill="1" applyBorder="1" applyAlignment="1" applyProtection="1">
      <alignment vertical="center" readingOrder="1"/>
    </xf>
    <xf numFmtId="169" fontId="29" fillId="5" borderId="30" xfId="0" applyNumberFormat="1" applyFont="1" applyFill="1" applyBorder="1" applyAlignment="1" applyProtection="1">
      <alignment vertical="center" readingOrder="1"/>
    </xf>
    <xf numFmtId="0" fontId="0" fillId="0" borderId="10" xfId="0" applyBorder="1" applyProtection="1"/>
    <xf numFmtId="0" fontId="0" fillId="0" borderId="0" xfId="0" applyBorder="1" applyProtection="1"/>
    <xf numFmtId="0" fontId="0" fillId="0" borderId="11" xfId="0" applyBorder="1" applyProtection="1"/>
    <xf numFmtId="0" fontId="31" fillId="10" borderId="28" xfId="0" applyFont="1" applyFill="1" applyBorder="1" applyAlignment="1" applyProtection="1">
      <alignment vertical="center"/>
    </xf>
    <xf numFmtId="0" fontId="31" fillId="10" borderId="29" xfId="0" applyFont="1" applyFill="1" applyBorder="1" applyAlignment="1" applyProtection="1">
      <alignment vertical="center"/>
    </xf>
    <xf numFmtId="169" fontId="31" fillId="10" borderId="29" xfId="0" applyNumberFormat="1" applyFont="1" applyFill="1" applyBorder="1" applyAlignment="1" applyProtection="1">
      <alignment vertical="center"/>
    </xf>
    <xf numFmtId="169" fontId="31" fillId="10" borderId="30" xfId="0" applyNumberFormat="1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66" fontId="6" fillId="10" borderId="2" xfId="0" applyNumberFormat="1" applyFont="1" applyFill="1" applyBorder="1" applyAlignment="1" applyProtection="1">
      <alignment horizontal="center" vertical="center"/>
    </xf>
    <xf numFmtId="166" fontId="6" fillId="10" borderId="3" xfId="0" applyNumberFormat="1" applyFont="1" applyFill="1" applyBorder="1" applyAlignment="1" applyProtection="1">
      <alignment horizontal="center" vertical="center"/>
    </xf>
    <xf numFmtId="166" fontId="6" fillId="10" borderId="4" xfId="0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center" vertical="center"/>
    </xf>
  </cellXfs>
  <cellStyles count="5"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F84E4E"/>
      </font>
    </dxf>
    <dxf>
      <font>
        <b/>
        <i val="0"/>
        <color rgb="FFF84E4E"/>
      </font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ont>
        <color rgb="FFF84E4E"/>
      </font>
    </dxf>
  </dxfs>
  <tableStyles count="0" defaultTableStyle="TableStyleMedium2" defaultPivotStyle="PivotStyleLight16"/>
  <colors>
    <mruColors>
      <color rgb="FFF84E4E"/>
      <color rgb="FFFF7C80"/>
      <color rgb="FFD1054E"/>
      <color rgb="FFD9D9D9"/>
      <color rgb="FFFFFF00"/>
      <color rgb="FFE6E6E6"/>
      <color rgb="FFFF0000"/>
      <color rgb="FF00B050"/>
      <color rgb="FFBE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10</xdr:col>
      <xdr:colOff>543600</xdr:colOff>
      <xdr:row>56</xdr:row>
      <xdr:rowOff>32850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745600" y="19050"/>
          <a:ext cx="7401600" cy="101484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11</xdr:col>
      <xdr:colOff>57634</xdr:colOff>
      <xdr:row>0</xdr:row>
      <xdr:rowOff>0</xdr:rowOff>
    </xdr:from>
    <xdr:to>
      <xdr:col>21</xdr:col>
      <xdr:colOff>601437</xdr:colOff>
      <xdr:row>56</xdr:row>
      <xdr:rowOff>13607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1143963" y="0"/>
          <a:ext cx="7401803" cy="1014820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PBC%20User\Documents\&#1508;&#1493;&#1512;&#1502;&#1496;%20&#1492;&#1508;&#1511;&#1493;&#1514;%20&#1491;&#1493;&#1511;&#1493;%20&#1512;&#1497;&#1488;&#1500;&#1497;&#1496;&#1497;%2020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דריך למשתמש"/>
      <sheetName val="תקציב"/>
      <sheetName val="סיכום"/>
      <sheetName val="הגדרות"/>
      <sheetName val="בקרה"/>
      <sheetName val="מק&quot;ט"/>
    </sheetNames>
    <sheetDataSet>
      <sheetData sheetId="0"/>
      <sheetData sheetId="1">
        <row r="95">
          <cell r="H95">
            <v>0</v>
          </cell>
        </row>
      </sheetData>
      <sheetData sheetId="2"/>
      <sheetData sheetId="3">
        <row r="2">
          <cell r="C2" t="str">
            <v>ימים</v>
          </cell>
          <cell r="G2" t="str">
            <v>עונתי גלובלי</v>
          </cell>
          <cell r="K2" t="str">
            <v>ימים</v>
          </cell>
          <cell r="M2" t="str">
            <v>ימים</v>
          </cell>
          <cell r="O2" t="str">
            <v>ימים</v>
          </cell>
          <cell r="Q2" t="str">
            <v>תכניות/פרקים</v>
          </cell>
          <cell r="S2" t="str">
            <v>תכניות/פרקים</v>
          </cell>
          <cell r="U2" t="str">
            <v>חודשים</v>
          </cell>
          <cell r="AA2" t="str">
            <v>ימים</v>
          </cell>
          <cell r="AC2" t="str">
            <v>תכניות/פרקים</v>
          </cell>
          <cell r="AE2" t="str">
            <v>תכניות/פרקים</v>
          </cell>
        </row>
        <row r="3">
          <cell r="C3" t="str">
            <v>שבועות</v>
          </cell>
          <cell r="K3" t="str">
            <v>עונתי גלובלי</v>
          </cell>
          <cell r="M3" t="str">
            <v>חודשים</v>
          </cell>
          <cell r="Q3" t="str">
            <v>ימים</v>
          </cell>
          <cell r="U3" t="str">
            <v>עונתי גלובלי</v>
          </cell>
          <cell r="AA3" t="str">
            <v>חודשים</v>
          </cell>
          <cell r="AC3" t="str">
            <v>עונתי גלובלי</v>
          </cell>
          <cell r="AE3" t="str">
            <v>ימים</v>
          </cell>
        </row>
        <row r="4">
          <cell r="C4" t="str">
            <v>חודשים</v>
          </cell>
          <cell r="AA4" t="str">
            <v>עונתי גלובלי</v>
          </cell>
          <cell r="AE4" t="str">
            <v>חודשים</v>
          </cell>
        </row>
        <row r="5">
          <cell r="AE5" t="str">
            <v>עונתי גלובלי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334" displayName="Таблица334" ref="B1:I170" totalsRowShown="0" headerRowDxfId="10" dataDxfId="9" tableBorderDxfId="8">
  <autoFilter ref="B1:I170" xr:uid="{00000000-0009-0000-0100-000003000000}"/>
  <tableColumns count="8">
    <tableColumn id="1" xr3:uid="{00000000-0010-0000-0000-000001000000}" name="סוגה" dataDxfId="7"/>
    <tableColumn id="2" xr3:uid="{00000000-0010-0000-0000-000002000000}" name="קידומת" dataDxfId="6"/>
    <tableColumn id="3" xr3:uid="{00000000-0010-0000-0000-000003000000}" name="מאפיין יחידת מידה" dataDxfId="5"/>
    <tableColumn id="4" xr3:uid="{00000000-0010-0000-0000-000004000000}" name="קידומת2" dataDxfId="4"/>
    <tableColumn id="5" xr3:uid="{00000000-0010-0000-0000-000005000000}" name="קבוצת הוצאות" dataDxfId="3"/>
    <tableColumn id="6" xr3:uid="{00000000-0010-0000-0000-000006000000}" name="קידומת3" dataDxfId="2"/>
    <tableColumn id="7" xr3:uid="{00000000-0010-0000-0000-000007000000}" name="הוצאה" dataDxfId="1"/>
    <tableColumn id="8" xr3:uid="{00000000-0010-0000-0000-000008000000}" name="קידומת4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tabSelected="1" topLeftCell="A20" workbookViewId="0">
      <selection activeCell="D59" sqref="D59"/>
    </sheetView>
  </sheetViews>
  <sheetFormatPr defaultRowHeight="14.25" x14ac:dyDescent="0.2"/>
  <sheetData/>
  <sheetProtection algorithmName="SHA-512" hashValue="9e5zr0/UMHY7k08RyCCC5Y7OsZZOj9p4ecN7CBTAOGkkVsWVre55TLFXjsyuSaXPpkAs4p2bnhSjMzA/fFqd/g==" saltValue="oas51d6M2HW3KKWapx35M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A1:O61"/>
  <sheetViews>
    <sheetView rightToLeft="1" zoomScale="80" zoomScaleNormal="80" workbookViewId="0">
      <pane xSplit="1" ySplit="16" topLeftCell="B17" activePane="bottomRight" state="frozen"/>
      <selection pane="topRight" activeCell="B1" sqref="B1"/>
      <selection pane="bottomLeft" activeCell="A17" sqref="A17"/>
      <selection pane="bottomRight" activeCell="G42" sqref="G42"/>
    </sheetView>
  </sheetViews>
  <sheetFormatPr defaultRowHeight="15" x14ac:dyDescent="0.25"/>
  <cols>
    <col min="1" max="1" width="14.875" customWidth="1"/>
    <col min="2" max="2" width="12.875" style="166" customWidth="1"/>
    <col min="3" max="3" width="35.75" customWidth="1"/>
    <col min="4" max="5" width="12.625" customWidth="1"/>
    <col min="6" max="6" width="15" customWidth="1"/>
    <col min="7" max="7" width="12.625" customWidth="1"/>
    <col min="8" max="8" width="19.875" customWidth="1"/>
    <col min="9" max="9" width="26.25" customWidth="1"/>
    <col min="10" max="10" width="27.375" customWidth="1"/>
    <col min="11" max="11" width="33" style="40" bestFit="1" customWidth="1"/>
    <col min="12" max="14" width="9" hidden="1" customWidth="1"/>
    <col min="15" max="15" width="10.875" customWidth="1"/>
  </cols>
  <sheetData>
    <row r="1" spans="1:15" ht="15.75" thickBot="1" x14ac:dyDescent="0.3"/>
    <row r="2" spans="1:15" ht="25.5" customHeight="1" thickBot="1" x14ac:dyDescent="0.35">
      <c r="C2" s="144" t="s">
        <v>0</v>
      </c>
      <c r="D2" s="300"/>
      <c r="E2" s="301"/>
      <c r="F2" s="301"/>
      <c r="G2" s="301"/>
      <c r="H2" s="301"/>
      <c r="I2" s="302"/>
      <c r="K2" s="142" t="s">
        <v>162</v>
      </c>
    </row>
    <row r="3" spans="1:15" ht="25.5" customHeight="1" thickBot="1" x14ac:dyDescent="0.35">
      <c r="C3" s="144" t="s">
        <v>1</v>
      </c>
      <c r="D3" s="300"/>
      <c r="E3" s="301"/>
      <c r="F3" s="301"/>
      <c r="G3" s="301"/>
      <c r="H3" s="301"/>
      <c r="I3" s="302"/>
      <c r="K3" s="143">
        <f>IF(AND(L3=1,L4=1),1,-1)</f>
        <v>-1</v>
      </c>
      <c r="L3">
        <f>IF(COUNTIF(N17:N59,"לא"),-1,1)</f>
        <v>1</v>
      </c>
      <c r="M3" t="s">
        <v>159</v>
      </c>
    </row>
    <row r="4" spans="1:15" ht="36.75" customHeight="1" thickBot="1" x14ac:dyDescent="0.25">
      <c r="K4" s="164" t="str">
        <f>IF(AND(L3=-1,L4=-1),הגדרות!B29,IF(תקציב!L3=-1,הגדרות!B27,IF(תקציב!L4=-1,הגדרות!B28,הגדרות!B30)))</f>
        <v>קיים מידע חסר בטבלת פרטים כלליים</v>
      </c>
      <c r="L4">
        <f>IF(AND(NOT(ISBLANK(D7)),NOT(ISBLANK(E9)),NOT(ISBLANK(E10)),NOT(ISBLANK(D10))),1,-1)</f>
        <v>-1</v>
      </c>
      <c r="M4" t="s">
        <v>160</v>
      </c>
    </row>
    <row r="5" spans="1:15" ht="15.75" thickBot="1" x14ac:dyDescent="0.3"/>
    <row r="6" spans="1:15" ht="18.75" thickBot="1" x14ac:dyDescent="0.25">
      <c r="C6" s="303" t="s">
        <v>2</v>
      </c>
      <c r="D6" s="304"/>
      <c r="E6" s="305"/>
      <c r="G6" s="303" t="s">
        <v>135</v>
      </c>
      <c r="H6" s="304"/>
      <c r="I6" s="305"/>
      <c r="K6"/>
    </row>
    <row r="7" spans="1:15" ht="18.75" thickBot="1" x14ac:dyDescent="0.3">
      <c r="C7" s="130" t="s">
        <v>3</v>
      </c>
      <c r="D7" s="306"/>
      <c r="E7" s="307"/>
      <c r="G7" s="243"/>
      <c r="H7" s="244"/>
      <c r="I7" s="141" t="s">
        <v>136</v>
      </c>
      <c r="K7"/>
    </row>
    <row r="8" spans="1:15" ht="16.5" thickBot="1" x14ac:dyDescent="0.3">
      <c r="C8" s="22"/>
      <c r="D8" s="128" t="s">
        <v>4</v>
      </c>
      <c r="E8" s="129" t="s">
        <v>5</v>
      </c>
      <c r="G8" s="133" t="s">
        <v>137</v>
      </c>
      <c r="H8" s="138"/>
      <c r="I8" s="168">
        <f>H46</f>
        <v>0</v>
      </c>
      <c r="K8"/>
    </row>
    <row r="9" spans="1:15" ht="15.75" x14ac:dyDescent="0.25">
      <c r="C9" s="131" t="s">
        <v>57</v>
      </c>
      <c r="D9" s="24"/>
      <c r="E9" s="136"/>
      <c r="G9" s="134" t="s">
        <v>138</v>
      </c>
      <c r="H9" s="139"/>
      <c r="I9" s="168">
        <f>H54</f>
        <v>0</v>
      </c>
      <c r="K9"/>
    </row>
    <row r="10" spans="1:15" ht="16.5" thickBot="1" x14ac:dyDescent="0.3">
      <c r="C10" s="132" t="s">
        <v>58</v>
      </c>
      <c r="D10" s="25"/>
      <c r="E10" s="137"/>
      <c r="G10" s="134" t="s">
        <v>139</v>
      </c>
      <c r="H10" s="139"/>
      <c r="I10" s="168">
        <f>H57</f>
        <v>0</v>
      </c>
      <c r="K10"/>
    </row>
    <row r="11" spans="1:15" ht="15.75" x14ac:dyDescent="0.25">
      <c r="G11" s="134" t="s">
        <v>134</v>
      </c>
      <c r="H11" s="139"/>
      <c r="I11" s="168">
        <f>H60</f>
        <v>0</v>
      </c>
      <c r="K11"/>
    </row>
    <row r="12" spans="1:15" ht="15.75" x14ac:dyDescent="0.25">
      <c r="G12" s="134" t="s">
        <v>161</v>
      </c>
      <c r="H12" s="139"/>
      <c r="I12" s="168" t="str">
        <f>IF(OR(ISBLANK(D7),D7=0),"לא הוזן מספר פרקים",I60)</f>
        <v>לא הוזן מספר פרקים</v>
      </c>
      <c r="K12"/>
    </row>
    <row r="13" spans="1:15" ht="16.5" thickBot="1" x14ac:dyDescent="0.3">
      <c r="G13" s="135" t="s">
        <v>243</v>
      </c>
      <c r="H13" s="140"/>
      <c r="I13" s="169" t="str">
        <f>IF(OR(ISBLANK(D7),D7=0),"לא הוזן מספר פרקים",IF(OR(ISBLANK(E9),E9=0),"לא הוזן אורך תכנית",H60/D7/E9))</f>
        <v>לא הוזן מספר פרקים</v>
      </c>
    </row>
    <row r="15" spans="1:15" ht="15.75" thickBot="1" x14ac:dyDescent="0.3"/>
    <row r="16" spans="1:15" s="27" customFormat="1" ht="41.25" customHeight="1" thickBot="1" x14ac:dyDescent="0.25">
      <c r="A16" s="28"/>
      <c r="B16" s="167" t="s">
        <v>59</v>
      </c>
      <c r="C16" s="26" t="s">
        <v>60</v>
      </c>
      <c r="D16" s="26" t="s">
        <v>216</v>
      </c>
      <c r="E16" s="26" t="s">
        <v>4</v>
      </c>
      <c r="F16" s="26" t="s">
        <v>215</v>
      </c>
      <c r="G16" s="26" t="s">
        <v>214</v>
      </c>
      <c r="H16" s="26" t="s">
        <v>217</v>
      </c>
      <c r="I16" s="26" t="s">
        <v>63</v>
      </c>
      <c r="J16" s="26" t="s">
        <v>64</v>
      </c>
      <c r="K16" s="125" t="s">
        <v>65</v>
      </c>
      <c r="L16" s="29" t="s">
        <v>66</v>
      </c>
      <c r="M16" s="29" t="s">
        <v>66</v>
      </c>
      <c r="N16" s="30" t="s">
        <v>67</v>
      </c>
      <c r="O16" s="120" t="s">
        <v>67</v>
      </c>
    </row>
    <row r="17" spans="1:15" ht="15.75" customHeight="1" x14ac:dyDescent="0.25">
      <c r="A17" s="308" t="s">
        <v>218</v>
      </c>
      <c r="B17" s="165" t="str">
        <f ca="1">IFERROR(VLOOKUP(E17,OFFSET(בקרה!$C$2,VLOOKUP(C17,בקרה!G:M,7,FALSE),0):OFFSET(בקרה!$D$6,VLOOKUP(C17,בקרה!G:M,7,FALSE),0),2,FALSE),"")</f>
        <v/>
      </c>
      <c r="C17" s="213" t="s">
        <v>431</v>
      </c>
      <c r="D17" s="175"/>
      <c r="E17" s="171"/>
      <c r="F17" s="271"/>
      <c r="G17" s="173"/>
      <c r="H17" s="276">
        <f>G17*F17*D17</f>
        <v>0</v>
      </c>
      <c r="I17" s="276" t="str">
        <f>IFERROR(H17/$D$7,"")</f>
        <v/>
      </c>
      <c r="J17" s="34"/>
      <c r="K17" s="126" t="str">
        <f>IF(OR(M17,L17),הגדרות!$B$19,הגדרות!$B$21)</f>
        <v/>
      </c>
      <c r="L17" s="32" t="b">
        <f>AND(OR(ISBLANK(D17),D17=0),ISBLANK(E17),OR(ISBLANK(F17),F17=0),OR(ISBLANK(G17),G17=0))</f>
        <v>1</v>
      </c>
      <c r="M17" s="32" t="b">
        <f>AND(D17&gt;0,E17&gt;0,F17&gt;0,G17&gt;0)</f>
        <v>0</v>
      </c>
      <c r="N17" s="32" t="str">
        <f>IF(K17=הגדרות!$B$21,הגדרות!$B$25,IF(AND(OR(תקציב!K17=הגדרות!$B$17,תקציב!K17=הגדרות!$B$18,תקציב!K17=הגדרות!$B$22),ISBLANK(תקציב!J17)),הגדרות!$B$25,הגדרות!$B$24))</f>
        <v>כן</v>
      </c>
      <c r="O17" s="122">
        <f>IF(N17=הגדרות!$B$24,1,-1)</f>
        <v>1</v>
      </c>
    </row>
    <row r="18" spans="1:15" ht="15.75" customHeight="1" x14ac:dyDescent="0.25">
      <c r="A18" s="309"/>
      <c r="B18" s="165" t="str">
        <f ca="1">IFERROR(VLOOKUP(E18,OFFSET(בקרה!$C$2,VLOOKUP(C18,בקרה!G:M,7,FALSE),0):OFFSET(בקרה!$D$6,VLOOKUP(C18,בקרה!G:M,7,FALSE),0),2,FALSE),"")</f>
        <v/>
      </c>
      <c r="C18" s="213" t="s">
        <v>432</v>
      </c>
      <c r="D18" s="175"/>
      <c r="E18" s="171"/>
      <c r="F18" s="271"/>
      <c r="G18" s="173"/>
      <c r="H18" s="276">
        <f t="shared" ref="H18" si="0">G18*F18*D18</f>
        <v>0</v>
      </c>
      <c r="I18" s="276" t="str">
        <f t="shared" ref="I18:I30" si="1">IFERROR(H18/$D$7,"")</f>
        <v/>
      </c>
      <c r="J18" s="34"/>
      <c r="K18" s="126" t="str">
        <f>IF(OR(M18,L18),הגדרות!$B$19,הגדרות!$B$21)</f>
        <v/>
      </c>
      <c r="L18" s="32" t="b">
        <f t="shared" ref="L18" si="2">AND(OR(ISBLANK(D18),D18=0),ISBLANK(E18),OR(ISBLANK(F18),F18=0),OR(ISBLANK(G18),G18=0))</f>
        <v>1</v>
      </c>
      <c r="M18" s="32" t="b">
        <f t="shared" ref="M18" si="3">AND(D18&gt;0,E18&gt;0,F18&gt;0,G18&gt;0)</f>
        <v>0</v>
      </c>
      <c r="N18" s="32" t="str">
        <f>IF(K18=הגדרות!$B$21,הגדרות!$B$25,IF(AND(OR(תקציב!K18=הגדרות!$B$17,תקציב!K18=הגדרות!$B$18,תקציב!K18=הגדרות!$B$22),ISBLANK(תקציב!J18)),הגדרות!$B$25,הגדרות!$B$24))</f>
        <v>כן</v>
      </c>
      <c r="O18" s="122">
        <f>IF(N18=הגדרות!$B$24,1,-1)</f>
        <v>1</v>
      </c>
    </row>
    <row r="19" spans="1:15" ht="15.75" customHeight="1" x14ac:dyDescent="0.25">
      <c r="A19" s="309"/>
      <c r="B19" s="165" t="str">
        <f ca="1">IFERROR(VLOOKUP(E19,OFFSET(בקרה!$C$2,VLOOKUP(C19,בקרה!G:M,7,FALSE),0):OFFSET(בקרה!$D$6,VLOOKUP(C19,בקרה!G:M,7,FALSE),0),2,FALSE),"")</f>
        <v/>
      </c>
      <c r="C19" s="213" t="s">
        <v>433</v>
      </c>
      <c r="D19" s="175"/>
      <c r="E19" s="171"/>
      <c r="F19" s="271"/>
      <c r="G19" s="173"/>
      <c r="H19" s="276">
        <f t="shared" ref="H19" si="4">G19*F19*D19</f>
        <v>0</v>
      </c>
      <c r="I19" s="276" t="str">
        <f t="shared" ref="I19" si="5">IFERROR(H19/$D$7,"")</f>
        <v/>
      </c>
      <c r="J19" s="34"/>
      <c r="K19" s="126" t="str">
        <f>IF(OR(M19,L19),הגדרות!$B$19,הגדרות!$B$21)</f>
        <v/>
      </c>
      <c r="L19" s="32" t="b">
        <f t="shared" ref="L19" si="6">AND(OR(ISBLANK(D19),D19=0),ISBLANK(E19),OR(ISBLANK(F19),F19=0),OR(ISBLANK(G19),G19=0))</f>
        <v>1</v>
      </c>
      <c r="M19" s="32" t="b">
        <f t="shared" ref="M19" si="7">AND(D19&gt;0,E19&gt;0,F19&gt;0,G19&gt;0)</f>
        <v>0</v>
      </c>
      <c r="N19" s="32" t="str">
        <f>IF(K19=הגדרות!$B$21,הגדרות!$B$25,IF(AND(OR(תקציב!K19=הגדרות!$B$17,תקציב!K19=הגדרות!$B$18,תקציב!K19=הגדרות!$B$22),ISBLANK(תקציב!J19)),הגדרות!$B$25,הגדרות!$B$24))</f>
        <v>כן</v>
      </c>
      <c r="O19" s="122">
        <f>IF(N19=הגדרות!$B$24,1,-1)</f>
        <v>1</v>
      </c>
    </row>
    <row r="20" spans="1:15" ht="16.5" customHeight="1" thickBot="1" x14ac:dyDescent="0.3">
      <c r="A20" s="310"/>
      <c r="B20" s="165" t="str">
        <f ca="1">IFERROR(VLOOKUP(E20,OFFSET(בקרה!$C$2,VLOOKUP(C20,בקרה!G:M,7,FALSE),0):OFFSET(בקרה!$D$6,VLOOKUP(C20,בקרה!G:M,7,FALSE),0),2,FALSE),"")</f>
        <v/>
      </c>
      <c r="C20" s="213" t="s">
        <v>14</v>
      </c>
      <c r="D20" s="285" t="s">
        <v>75</v>
      </c>
      <c r="E20" s="171"/>
      <c r="F20" s="271"/>
      <c r="G20" s="173"/>
      <c r="H20" s="276">
        <f>G20*F20</f>
        <v>0</v>
      </c>
      <c r="I20" s="276" t="str">
        <f t="shared" si="1"/>
        <v/>
      </c>
      <c r="J20" s="34"/>
      <c r="K20" s="126" t="str">
        <f>IFERROR(IF(OR(L20,M20),IF(G20&gt;0,הגדרות!$B$18,הגדרות!$B$19),הגדרות!$B$21),הגדרות!$B$19)</f>
        <v/>
      </c>
      <c r="L20" s="32" t="b">
        <f>AND(ISBLANK(E20),OR(ISBLANK(F20),F20=0),OR(ISBLANK(G20),G20=0))</f>
        <v>1</v>
      </c>
      <c r="M20" s="32" t="b">
        <f>AND(E20&gt;0,F20&gt;0,G20&gt;0)</f>
        <v>0</v>
      </c>
      <c r="N20" s="32" t="str">
        <f>IF(K20=הגדרות!$B$21,הגדרות!$B$25,IF(AND(OR(תקציב!K20=הגדרות!$B$17,תקציב!K20=הגדרות!$B$18,תקציב!K20=הגדרות!$B$22),ISBLANK(תקציב!J20)),הגדרות!$B$25,הגדרות!$B$24))</f>
        <v>כן</v>
      </c>
      <c r="O20" s="122">
        <f>IF(N20=הגדרות!$B$24,1,-1)</f>
        <v>1</v>
      </c>
    </row>
    <row r="21" spans="1:15" ht="18.75" thickBot="1" x14ac:dyDescent="0.3">
      <c r="A21" s="227"/>
      <c r="B21" s="225"/>
      <c r="C21" s="226" t="s">
        <v>90</v>
      </c>
      <c r="D21" s="227"/>
      <c r="E21" s="224"/>
      <c r="F21" s="272"/>
      <c r="G21" s="228"/>
      <c r="H21" s="277">
        <f>SUM(H17:H20)</f>
        <v>0</v>
      </c>
      <c r="I21" s="277">
        <f>SUM(I17:I20)</f>
        <v>0</v>
      </c>
      <c r="J21" s="224"/>
      <c r="K21" s="229"/>
      <c r="L21" s="224"/>
      <c r="M21" s="224"/>
      <c r="N21" s="224"/>
      <c r="O21" s="230"/>
    </row>
    <row r="22" spans="1:15" ht="18" customHeight="1" thickBot="1" x14ac:dyDescent="0.3">
      <c r="A22" s="245" t="s">
        <v>249</v>
      </c>
      <c r="B22" s="165" t="str">
        <f ca="1">IFERROR(VLOOKUP(E22,OFFSET(בקרה!$C$2,VLOOKUP(C22,בקרה!G:M,7,FALSE),0):OFFSET(בקרה!$D$6,VLOOKUP(C22,בקרה!G:M,7,FALSE),0),2,FALSE),"")</f>
        <v/>
      </c>
      <c r="C22" s="160" t="s">
        <v>434</v>
      </c>
      <c r="D22" s="174"/>
      <c r="E22" s="171"/>
      <c r="F22" s="273"/>
      <c r="G22" s="170"/>
      <c r="H22" s="276">
        <f t="shared" ref="H22" si="8">G22*F22*D22</f>
        <v>0</v>
      </c>
      <c r="I22" s="276" t="str">
        <f t="shared" si="1"/>
        <v/>
      </c>
      <c r="J22" s="33"/>
      <c r="K22" s="126" t="str">
        <f>IF(OR(M22,L22),הגדרות!$B$19,הגדרות!$B$21)</f>
        <v/>
      </c>
      <c r="L22" s="31" t="b">
        <f>AND(OR(ISBLANK(D22),D22=0),ISBLANK(E22),OR(ISBLANK(F22),F22=0),OR(ISBLANK(G22),G22=0))</f>
        <v>1</v>
      </c>
      <c r="M22" s="31" t="b">
        <f>AND(D22&gt;0,E22&gt;0,F22&gt;0,G22&gt;0)</f>
        <v>0</v>
      </c>
      <c r="N22" s="31" t="str">
        <f>IF(K22=הגדרות!$B$21,הגדרות!$B$25,IF(AND(OR(תקציב!K22=הגדרות!$B$17,תקציב!K22=הגדרות!$B$18,תקציב!K22=הגדרות!$B$22),ISBLANK(תקציב!J22)),הגדרות!$B$25,הגדרות!$B$24))</f>
        <v>כן</v>
      </c>
      <c r="O22" s="121">
        <f>IF(N22=הגדרות!$B$24,1,-1)</f>
        <v>1</v>
      </c>
    </row>
    <row r="23" spans="1:15" ht="16.5" thickBot="1" x14ac:dyDescent="0.3">
      <c r="A23" s="232"/>
      <c r="B23" s="231"/>
      <c r="C23" s="226" t="s">
        <v>253</v>
      </c>
      <c r="D23" s="232"/>
      <c r="E23" s="226"/>
      <c r="F23" s="274"/>
      <c r="G23" s="233"/>
      <c r="H23" s="277">
        <f>SUM(H22:H22)</f>
        <v>0</v>
      </c>
      <c r="I23" s="277">
        <f>SUM(I22:I22)</f>
        <v>0</v>
      </c>
      <c r="J23" s="226"/>
      <c r="K23" s="234"/>
      <c r="L23" s="226"/>
      <c r="M23" s="226"/>
      <c r="N23" s="226"/>
      <c r="O23" s="235"/>
    </row>
    <row r="24" spans="1:15" ht="15" customHeight="1" x14ac:dyDescent="0.25">
      <c r="A24" s="308" t="s">
        <v>248</v>
      </c>
      <c r="B24" s="165" t="str">
        <f ca="1">IFERROR(VLOOKUP(E24,OFFSET(בקרה!$C$2,VLOOKUP(C24,בקרה!G:M,7,FALSE),0):OFFSET(בקרה!$D$6,VLOOKUP(C24,בקרה!G:M,7,FALSE),0),2,FALSE),"")</f>
        <v/>
      </c>
      <c r="C24" s="160" t="s">
        <v>435</v>
      </c>
      <c r="D24" s="175"/>
      <c r="E24" s="171"/>
      <c r="F24" s="271"/>
      <c r="G24" s="173"/>
      <c r="H24" s="276">
        <f t="shared" ref="H24" si="9">G24*F24*D24</f>
        <v>0</v>
      </c>
      <c r="I24" s="276" t="str">
        <f t="shared" ref="I24" si="10">IFERROR(H24/$D$7,"")</f>
        <v/>
      </c>
      <c r="J24" s="34"/>
      <c r="K24" s="126" t="str">
        <f>IF(OR(M24,L24),הגדרות!$B$19,הגדרות!$B$21)</f>
        <v/>
      </c>
      <c r="L24" s="32" t="b">
        <f t="shared" ref="L24" si="11">AND(OR(ISBLANK(D24),D24=0),ISBLANK(E24),OR(ISBLANK(F24),F24=0),OR(ISBLANK(G24),G24=0))</f>
        <v>1</v>
      </c>
      <c r="M24" s="32" t="b">
        <f t="shared" ref="M24" si="12">AND(D24&gt;0,E24&gt;0,F24&gt;0,G24&gt;0)</f>
        <v>0</v>
      </c>
      <c r="N24" s="32" t="str">
        <f>IF(K24=הגדרות!$B$21,הגדרות!$B$25,IF(AND(OR(תקציב!K24=הגדרות!$B$17,תקציב!K24=הגדרות!$B$18,תקציב!K24=הגדרות!$B$22),ISBLANK(תקציב!J24)),הגדרות!$B$25,הגדרות!$B$24))</f>
        <v>כן</v>
      </c>
      <c r="O24" s="122">
        <f>IF(N24=הגדרות!$B$24,1,-1)</f>
        <v>1</v>
      </c>
    </row>
    <row r="25" spans="1:15" ht="15" customHeight="1" x14ac:dyDescent="0.25">
      <c r="A25" s="309"/>
      <c r="B25" s="165" t="str">
        <f ca="1">IFERROR(VLOOKUP(E25,OFFSET(בקרה!$C$2,VLOOKUP(C25,בקרה!G:M,7,FALSE),0):OFFSET(בקרה!$D$6,VLOOKUP(C25,בקרה!G:M,7,FALSE),0),2,FALSE),"")</f>
        <v/>
      </c>
      <c r="C25" s="160" t="s">
        <v>436</v>
      </c>
      <c r="D25" s="175"/>
      <c r="E25" s="171"/>
      <c r="F25" s="271"/>
      <c r="G25" s="173"/>
      <c r="H25" s="276">
        <f t="shared" ref="H25" si="13">G25*F25*D25</f>
        <v>0</v>
      </c>
      <c r="I25" s="276" t="str">
        <f t="shared" ref="I25" si="14">IFERROR(H25/$D$7,"")</f>
        <v/>
      </c>
      <c r="J25" s="34"/>
      <c r="K25" s="126" t="str">
        <f>IF(OR(M25,L25),הגדרות!$B$19,הגדרות!$B$21)</f>
        <v/>
      </c>
      <c r="L25" s="32" t="b">
        <f t="shared" ref="L25:L26" si="15">AND(OR(ISBLANK(D25),D25=0),ISBLANK(E25),OR(ISBLANK(F25),F25=0),OR(ISBLANK(G25),G25=0))</f>
        <v>1</v>
      </c>
      <c r="M25" s="32" t="b">
        <f t="shared" ref="M25:M26" si="16">AND(D25&gt;0,E25&gt;0,F25&gt;0,G25&gt;0)</f>
        <v>0</v>
      </c>
      <c r="N25" s="32" t="str">
        <f>IF(K25=הגדרות!$B$21,הגדרות!$B$25,IF(AND(OR(תקציב!K25=הגדרות!$B$17,תקציב!K25=הגדרות!$B$18,תקציב!K25=הגדרות!$B$22),ISBLANK(תקציב!J25)),הגדרות!$B$25,הגדרות!$B$24))</f>
        <v>כן</v>
      </c>
      <c r="O25" s="122">
        <f>IF(N25=הגדרות!$B$24,1,-1)</f>
        <v>1</v>
      </c>
    </row>
    <row r="26" spans="1:15" ht="15" customHeight="1" x14ac:dyDescent="0.25">
      <c r="A26" s="309"/>
      <c r="B26" s="165" t="str">
        <f ca="1">IFERROR(VLOOKUP(E26,OFFSET(בקרה!$C$2,VLOOKUP(C26,בקרה!G:M,7,FALSE),0):OFFSET(בקרה!$D$6,VLOOKUP(C26,בקרה!G:M,7,FALSE),0),2,FALSE),"")</f>
        <v/>
      </c>
      <c r="C26" s="160" t="s">
        <v>437</v>
      </c>
      <c r="D26" s="175"/>
      <c r="E26" s="171"/>
      <c r="F26" s="271"/>
      <c r="G26" s="173"/>
      <c r="H26" s="276">
        <f>G26*F26*D26</f>
        <v>0</v>
      </c>
      <c r="I26" s="276" t="str">
        <f t="shared" ref="I26:I27" si="17">IFERROR(H26/$D$7,"")</f>
        <v/>
      </c>
      <c r="J26" s="34"/>
      <c r="K26" s="126" t="str">
        <f>IF(OR(M26,L26),הגדרות!$B$19,הגדרות!$B$21)</f>
        <v/>
      </c>
      <c r="L26" s="32" t="b">
        <f t="shared" si="15"/>
        <v>1</v>
      </c>
      <c r="M26" s="32" t="b">
        <f t="shared" si="16"/>
        <v>0</v>
      </c>
      <c r="N26" s="32" t="str">
        <f>IF(K26=הגדרות!$B$21,הגדרות!$B$25,IF(AND(OR(תקציב!K26=הגדרות!$B$17,תקציב!K26=הגדרות!$B$18,תקציב!K26=הגדרות!$B$22),ISBLANK(תקציב!J26)),הגדרות!$B$25,הגדרות!$B$24))</f>
        <v>כן</v>
      </c>
      <c r="O26" s="122">
        <f>IF(N26=הגדרות!$B$24,1,-1)</f>
        <v>1</v>
      </c>
    </row>
    <row r="27" spans="1:15" ht="15" customHeight="1" x14ac:dyDescent="0.25">
      <c r="A27" s="309"/>
      <c r="B27" s="165" t="str">
        <f ca="1">IFERROR(VLOOKUP(E27,OFFSET(בקרה!$C$2,VLOOKUP(C27,בקרה!G:M,7,FALSE),0):OFFSET(בקרה!$D$6,VLOOKUP(C27,בקרה!G:M,7,FALSE),0),2,FALSE),"")</f>
        <v/>
      </c>
      <c r="C27" s="160" t="s">
        <v>438</v>
      </c>
      <c r="D27" s="286"/>
      <c r="E27" s="171"/>
      <c r="F27" s="271"/>
      <c r="G27" s="173"/>
      <c r="H27" s="276">
        <f>G27*F27*D27</f>
        <v>0</v>
      </c>
      <c r="I27" s="276" t="str">
        <f t="shared" si="17"/>
        <v/>
      </c>
      <c r="J27" s="34"/>
      <c r="K27" s="126" t="str">
        <f>IF(OR(M27,L27),הגדרות!$B$19,הגדרות!$B$21)</f>
        <v/>
      </c>
      <c r="L27" s="32" t="b">
        <f t="shared" ref="L27" si="18">AND(OR(ISBLANK(D27),D27=0),ISBLANK(E27),OR(ISBLANK(F27),F27=0),OR(ISBLANK(G27),G27=0))</f>
        <v>1</v>
      </c>
      <c r="M27" s="32" t="b">
        <f t="shared" ref="M27" si="19">AND(D27&gt;0,E27&gt;0,F27&gt;0,G27&gt;0)</f>
        <v>0</v>
      </c>
      <c r="N27" s="32" t="str">
        <f>IF(K27=הגדרות!$B$21,הגדרות!$B$25,IF(AND(OR(תקציב!K27=הגדרות!$B$17,תקציב!K27=הגדרות!$B$18,תקציב!K27=הגדרות!$B$22),ISBLANK(תקציב!J27)),הגדרות!$B$25,הגדרות!$B$24))</f>
        <v>כן</v>
      </c>
      <c r="O27" s="122">
        <f>IF(N27=הגדרות!$B$24,1,-1)</f>
        <v>1</v>
      </c>
    </row>
    <row r="28" spans="1:15" ht="15" customHeight="1" thickBot="1" x14ac:dyDescent="0.3">
      <c r="A28" s="310"/>
      <c r="B28" s="165" t="str">
        <f ca="1">IFERROR(VLOOKUP(E28,OFFSET(בקרה!$C$2,VLOOKUP(C28,בקרה!G:M,7,FALSE),0):OFFSET(בקרה!$D$6,VLOOKUP(C28,בקרה!G:M,7,FALSE),0),2,FALSE),"")</f>
        <v/>
      </c>
      <c r="C28" s="160" t="s">
        <v>254</v>
      </c>
      <c r="D28" s="285" t="s">
        <v>75</v>
      </c>
      <c r="E28" s="171"/>
      <c r="F28" s="271"/>
      <c r="G28" s="173"/>
      <c r="H28" s="276">
        <f>G28*F28</f>
        <v>0</v>
      </c>
      <c r="I28" s="276" t="str">
        <f t="shared" ref="I28" si="20">IFERROR(H28/$D$7,"")</f>
        <v/>
      </c>
      <c r="J28" s="34"/>
      <c r="K28" s="126" t="str">
        <f>IFERROR(IF(OR(L28,M28),IF(G28&gt;0,הגדרות!$B$18,הגדרות!$B$19),הגדרות!$B$21),הגדרות!$B$19)</f>
        <v/>
      </c>
      <c r="L28" s="32" t="b">
        <f>AND(ISBLANK(E28),OR(ISBLANK(F28),F28=0),OR(ISBLANK(G28),G28=0))</f>
        <v>1</v>
      </c>
      <c r="M28" s="32" t="b">
        <f>AND(E28&gt;0,F28&gt;0,G28&gt;0)</f>
        <v>0</v>
      </c>
      <c r="N28" s="32" t="str">
        <f>IF(K28=הגדרות!$B$21,הגדרות!$B$25,IF(AND(OR(תקציב!K28=הגדרות!$B$17,תקציב!K28=הגדרות!$B$18,תקציב!K28=הגדרות!$B$22),ISBLANK(תקציב!J28)),הגדרות!$B$25,הגדרות!$B$24))</f>
        <v>כן</v>
      </c>
      <c r="O28" s="122">
        <f>IF(N28=הגדרות!$B$24,1,-1)</f>
        <v>1</v>
      </c>
    </row>
    <row r="29" spans="1:15" ht="15.75" customHeight="1" thickBot="1" x14ac:dyDescent="0.3">
      <c r="A29" s="232"/>
      <c r="B29" s="231"/>
      <c r="C29" s="226" t="s">
        <v>429</v>
      </c>
      <c r="D29" s="232"/>
      <c r="E29" s="226"/>
      <c r="F29" s="274"/>
      <c r="G29" s="233"/>
      <c r="H29" s="277">
        <f>SUM(H24:H28)</f>
        <v>0</v>
      </c>
      <c r="I29" s="277">
        <f>SUM(I24:I28)</f>
        <v>0</v>
      </c>
      <c r="J29" s="226"/>
      <c r="K29" s="234"/>
      <c r="L29" s="226"/>
      <c r="M29" s="226"/>
      <c r="N29" s="226"/>
      <c r="O29" s="235"/>
    </row>
    <row r="30" spans="1:15" ht="15.75" customHeight="1" x14ac:dyDescent="0.25">
      <c r="A30" s="308" t="s">
        <v>152</v>
      </c>
      <c r="B30" s="165" t="str">
        <f ca="1">IFERROR(VLOOKUP(E30,OFFSET(בקרה!$C$2,VLOOKUP(C30,בקרה!G:M,7,FALSE),0):OFFSET(בקרה!$D$6,VLOOKUP(C30,בקרה!G:M,7,FALSE),0),2,FALSE),"")</f>
        <v/>
      </c>
      <c r="C30" s="160" t="s">
        <v>194</v>
      </c>
      <c r="D30" s="176" t="s">
        <v>75</v>
      </c>
      <c r="E30" s="171"/>
      <c r="F30" s="271"/>
      <c r="G30" s="173"/>
      <c r="H30" s="276">
        <f t="shared" ref="H30" si="21">G30*F30</f>
        <v>0</v>
      </c>
      <c r="I30" s="276" t="str">
        <f t="shared" si="1"/>
        <v/>
      </c>
      <c r="J30" s="34"/>
      <c r="K30" s="126" t="str">
        <f>IF(OR(M30,L30),הגדרות!$B$19,הגדרות!$B$21)</f>
        <v/>
      </c>
      <c r="L30" s="32" t="b">
        <f>AND(ISBLANK(E30),OR(ISBLANK(F30),F30=0),OR(ISBLANK(G30),G30=0))</f>
        <v>1</v>
      </c>
      <c r="M30" s="32" t="b">
        <f>AND(E30&gt;0,F30&gt;0,G30&gt;0)</f>
        <v>0</v>
      </c>
      <c r="N30" s="32" t="str">
        <f>IF(K30=הגדרות!$B$21,הגדרות!$B$25,IF(AND(OR(תקציב!K30=הגדרות!$B$17,תקציב!K30=הגדרות!$B$18,תקציב!K30=הגדרות!$B$22),ISBLANK(תקציב!J30)),הגדרות!$B$25,הגדרות!$B$24))</f>
        <v>כן</v>
      </c>
      <c r="O30" s="122">
        <f>IF(N30=הגדרות!$B$24,1,-1)</f>
        <v>1</v>
      </c>
    </row>
    <row r="31" spans="1:15" ht="18" customHeight="1" x14ac:dyDescent="0.25">
      <c r="A31" s="309"/>
      <c r="B31" s="165" t="str">
        <f ca="1">IFERROR(VLOOKUP(E31,OFFSET(בקרה!$C$2,VLOOKUP(C31,בקרה!G:M,7,FALSE),0):OFFSET(בקרה!$D$6,VLOOKUP(C31,בקרה!G:M,7,FALSE),0),2,FALSE),"")</f>
        <v/>
      </c>
      <c r="C31" s="160" t="s">
        <v>196</v>
      </c>
      <c r="D31" s="176" t="s">
        <v>75</v>
      </c>
      <c r="E31" s="171"/>
      <c r="F31" s="271"/>
      <c r="G31" s="173"/>
      <c r="H31" s="276">
        <f t="shared" ref="H31:H33" si="22">G31*F31</f>
        <v>0</v>
      </c>
      <c r="I31" s="276" t="str">
        <f t="shared" ref="I31:I33" si="23">IFERROR(H31/$D$7,"")</f>
        <v/>
      </c>
      <c r="J31" s="34"/>
      <c r="K31" s="126" t="str">
        <f>IF(OR(M31,L31),הגדרות!$B$19,הגדרות!$B$21)</f>
        <v/>
      </c>
      <c r="L31" s="32" t="b">
        <f t="shared" ref="L31:L33" si="24">AND(ISBLANK(E31),OR(ISBLANK(F31),F31=0),OR(ISBLANK(G31),G31=0))</f>
        <v>1</v>
      </c>
      <c r="M31" s="32" t="b">
        <f t="shared" ref="M31:M33" si="25">AND(E31&gt;0,F31&gt;0,G31&gt;0)</f>
        <v>0</v>
      </c>
      <c r="N31" s="32" t="str">
        <f>IF(K31=הגדרות!$B$21,הגדרות!$B$25,IF(AND(OR(תקציב!K31=הגדרות!$B$17,תקציב!K31=הגדרות!$B$18,תקציב!K31=הגדרות!$B$22),ISBLANK(תקציב!J31)),הגדרות!$B$25,הגדרות!$B$24))</f>
        <v>כן</v>
      </c>
      <c r="O31" s="122">
        <f>IF(N31=הגדרות!$B$24,1,-1)</f>
        <v>1</v>
      </c>
    </row>
    <row r="32" spans="1:15" ht="18" customHeight="1" x14ac:dyDescent="0.25">
      <c r="A32" s="309"/>
      <c r="B32" s="165" t="str">
        <f ca="1">IFERROR(VLOOKUP(E32,OFFSET(בקרה!$C$2,VLOOKUP(C32,בקרה!G:M,7,FALSE),0):OFFSET(בקרה!$D$6,VLOOKUP(C32,בקרה!G:M,7,FALSE),0),2,FALSE),"")</f>
        <v/>
      </c>
      <c r="C32" s="160" t="s">
        <v>198</v>
      </c>
      <c r="D32" s="176" t="s">
        <v>75</v>
      </c>
      <c r="E32" s="171"/>
      <c r="F32" s="271"/>
      <c r="G32" s="173"/>
      <c r="H32" s="276">
        <f t="shared" si="22"/>
        <v>0</v>
      </c>
      <c r="I32" s="276" t="str">
        <f t="shared" si="23"/>
        <v/>
      </c>
      <c r="J32" s="34"/>
      <c r="K32" s="126" t="str">
        <f>IF(OR(M32,L32),הגדרות!$B$19,הגדרות!$B$21)</f>
        <v/>
      </c>
      <c r="L32" s="32" t="b">
        <f t="shared" si="24"/>
        <v>1</v>
      </c>
      <c r="M32" s="32" t="b">
        <f t="shared" si="25"/>
        <v>0</v>
      </c>
      <c r="N32" s="32" t="str">
        <f>IF(K32=הגדרות!$B$21,הגדרות!$B$25,IF(AND(OR(תקציב!K32=הגדרות!$B$17,תקציב!K32=הגדרות!$B$18,תקציב!K32=הגדרות!$B$22),ISBLANK(תקציב!J32)),הגדרות!$B$25,הגדרות!$B$24))</f>
        <v>כן</v>
      </c>
      <c r="O32" s="122">
        <f>IF(N32=הגדרות!$B$24,1,-1)</f>
        <v>1</v>
      </c>
    </row>
    <row r="33" spans="1:15" ht="18" customHeight="1" thickBot="1" x14ac:dyDescent="0.3">
      <c r="A33" s="309"/>
      <c r="B33" s="165" t="str">
        <f ca="1">IFERROR(VLOOKUP(E33,OFFSET(בקרה!$C$2,VLOOKUP(C33,בקרה!G:M,7,FALSE),0):OFFSET(בקרה!$D$6,VLOOKUP(C33,בקרה!G:M,7,FALSE),0),2,FALSE),"")</f>
        <v/>
      </c>
      <c r="C33" s="160" t="s">
        <v>199</v>
      </c>
      <c r="D33" s="176" t="s">
        <v>75</v>
      </c>
      <c r="E33" s="171"/>
      <c r="F33" s="271"/>
      <c r="G33" s="173"/>
      <c r="H33" s="276">
        <f t="shared" si="22"/>
        <v>0</v>
      </c>
      <c r="I33" s="276" t="str">
        <f t="shared" si="23"/>
        <v/>
      </c>
      <c r="J33" s="34"/>
      <c r="K33" s="126" t="str">
        <f>IFERROR(IF(OR(L33,M33),IF(G33&gt;0,הגדרות!$B$18,הגדרות!$B$19),הגדרות!$B$21),הגדרות!$B$19)</f>
        <v/>
      </c>
      <c r="L33" s="32" t="b">
        <f t="shared" si="24"/>
        <v>1</v>
      </c>
      <c r="M33" s="32" t="b">
        <f t="shared" si="25"/>
        <v>0</v>
      </c>
      <c r="N33" s="32" t="str">
        <f>IF(K33=הגדרות!$B$21,הגדרות!$B$25,IF(AND(OR(תקציב!K33=הגדרות!$B$17,תקציב!K33=הגדרות!$B$18,תקציב!K33=הגדרות!$B$22),ISBLANK(תקציב!J33)),הגדרות!$B$25,הגדרות!$B$24))</f>
        <v>כן</v>
      </c>
      <c r="O33" s="122">
        <f>IF(N33=הגדרות!$B$24,1,-1)</f>
        <v>1</v>
      </c>
    </row>
    <row r="34" spans="1:15" ht="16.5" thickBot="1" x14ac:dyDescent="0.3">
      <c r="A34" s="232"/>
      <c r="B34" s="231"/>
      <c r="C34" s="226" t="s">
        <v>229</v>
      </c>
      <c r="D34" s="232"/>
      <c r="E34" s="226"/>
      <c r="F34" s="274"/>
      <c r="G34" s="233"/>
      <c r="H34" s="277">
        <f>SUM(H30:H33)</f>
        <v>0</v>
      </c>
      <c r="I34" s="277">
        <f>SUM(I30:I33)</f>
        <v>0</v>
      </c>
      <c r="J34" s="226"/>
      <c r="K34" s="234"/>
      <c r="L34" s="226"/>
      <c r="M34" s="226"/>
      <c r="N34" s="226"/>
      <c r="O34" s="235"/>
    </row>
    <row r="35" spans="1:15" ht="15.75" customHeight="1" x14ac:dyDescent="0.25">
      <c r="A35" s="308" t="s">
        <v>106</v>
      </c>
      <c r="B35" s="165" t="str">
        <f ca="1">IFERROR(VLOOKUP(E35,OFFSET(בקרה!$C$2,VLOOKUP(C35,בקרה!G:M,7,FALSE),0):OFFSET(בקרה!$D$6,VLOOKUP(C35,בקרה!G:M,7,FALSE),0),2,FALSE),"")</f>
        <v/>
      </c>
      <c r="C35" s="36" t="s">
        <v>98</v>
      </c>
      <c r="D35" s="176" t="s">
        <v>75</v>
      </c>
      <c r="E35" s="171"/>
      <c r="F35" s="271"/>
      <c r="G35" s="173"/>
      <c r="H35" s="276">
        <f t="shared" ref="H35:H40" si="26">G35*F35</f>
        <v>0</v>
      </c>
      <c r="I35" s="276" t="str">
        <f t="shared" ref="I35:I40" si="27">IFERROR(H35/$D$7,"")</f>
        <v/>
      </c>
      <c r="J35" s="34"/>
      <c r="K35" s="126" t="str">
        <f>IF(OR(M35,L35),הגדרות!$B$19,הגדרות!$B$21)</f>
        <v/>
      </c>
      <c r="L35" s="32" t="b">
        <f t="shared" ref="L35:L39" si="28">AND(ISBLANK(E35),OR(ISBLANK(F35),F35=0),OR(ISBLANK(G35),G35=0))</f>
        <v>1</v>
      </c>
      <c r="M35" s="32" t="b">
        <f t="shared" ref="M35:M39" si="29">AND(E35&gt;0,F35&gt;0,G35&gt;0)</f>
        <v>0</v>
      </c>
      <c r="N35" s="32" t="str">
        <f>IF(K35=הגדרות!$B$21,הגדרות!$B$25,IF(AND(OR(תקציב!K35=הגדרות!$B$17,תקציב!K35=הגדרות!$B$18,תקציב!K35=הגדרות!$B$22),ISBLANK(תקציב!J35)),הגדרות!$B$25,הגדרות!$B$24))</f>
        <v>כן</v>
      </c>
      <c r="O35" s="122">
        <f>IF(N35=הגדרות!$B$24,1,-1)</f>
        <v>1</v>
      </c>
    </row>
    <row r="36" spans="1:15" ht="15.75" customHeight="1" x14ac:dyDescent="0.25">
      <c r="A36" s="309"/>
      <c r="B36" s="165" t="str">
        <f ca="1">IFERROR(VLOOKUP(E36,OFFSET(בקרה!$C$2,VLOOKUP(C36,בקרה!G:M,7,FALSE),0):OFFSET(בקרה!$D$6,VLOOKUP(C36,בקרה!G:M,7,FALSE),0),2,FALSE),"")</f>
        <v/>
      </c>
      <c r="C36" s="36" t="s">
        <v>99</v>
      </c>
      <c r="D36" s="176" t="s">
        <v>75</v>
      </c>
      <c r="E36" s="171"/>
      <c r="F36" s="271"/>
      <c r="G36" s="173"/>
      <c r="H36" s="276">
        <f t="shared" si="26"/>
        <v>0</v>
      </c>
      <c r="I36" s="276" t="str">
        <f t="shared" si="27"/>
        <v/>
      </c>
      <c r="J36" s="34"/>
      <c r="K36" s="126" t="str">
        <f>IF(OR(M36,L36),הגדרות!$B$19,הגדרות!$B$21)</f>
        <v/>
      </c>
      <c r="L36" s="32" t="b">
        <f t="shared" si="28"/>
        <v>1</v>
      </c>
      <c r="M36" s="32" t="b">
        <f t="shared" si="29"/>
        <v>0</v>
      </c>
      <c r="N36" s="32" t="str">
        <f>IF(K36=הגדרות!$B$21,הגדרות!$B$25,IF(AND(OR(תקציב!K36=הגדרות!$B$17,תקציב!K36=הגדרות!$B$18,תקציב!K36=הגדרות!$B$22),ISBLANK(תקציב!J36)),הגדרות!$B$25,הגדרות!$B$24))</f>
        <v>כן</v>
      </c>
      <c r="O36" s="122">
        <f>IF(N36=הגדרות!$B$24,1,-1)</f>
        <v>1</v>
      </c>
    </row>
    <row r="37" spans="1:15" ht="15.75" customHeight="1" x14ac:dyDescent="0.25">
      <c r="A37" s="309"/>
      <c r="B37" s="165" t="str">
        <f ca="1">IFERROR(VLOOKUP(E37,OFFSET(בקרה!$C$2,VLOOKUP(C37,בקרה!G:M,7,FALSE),0):OFFSET(בקרה!$D$6,VLOOKUP(C37,בקרה!G:M,7,FALSE),0),2,FALSE),"")</f>
        <v/>
      </c>
      <c r="C37" s="37" t="s">
        <v>100</v>
      </c>
      <c r="D37" s="176" t="s">
        <v>75</v>
      </c>
      <c r="E37" s="171"/>
      <c r="F37" s="271"/>
      <c r="G37" s="173"/>
      <c r="H37" s="276">
        <f t="shared" si="26"/>
        <v>0</v>
      </c>
      <c r="I37" s="276" t="str">
        <f t="shared" si="27"/>
        <v/>
      </c>
      <c r="J37" s="34" t="s">
        <v>6</v>
      </c>
      <c r="K37" s="126" t="str">
        <f>IF(OR(M37,L37),הגדרות!$B$19,הגדרות!$B$21)</f>
        <v/>
      </c>
      <c r="L37" s="32" t="b">
        <f t="shared" si="28"/>
        <v>1</v>
      </c>
      <c r="M37" s="32" t="b">
        <f t="shared" si="29"/>
        <v>0</v>
      </c>
      <c r="N37" s="32" t="str">
        <f>IF(K37=הגדרות!$B$21,הגדרות!$B$25,IF(AND(OR(תקציב!K37=הגדרות!$B$17,תקציב!K37=הגדרות!$B$18,תקציב!K37=הגדרות!$B$22),ISBLANK(תקציב!J37)),הגדרות!$B$25,הגדרות!$B$24))</f>
        <v>כן</v>
      </c>
      <c r="O37" s="122">
        <f>IF(N37=הגדרות!$B$24,1,-1)</f>
        <v>1</v>
      </c>
    </row>
    <row r="38" spans="1:15" ht="15.75" customHeight="1" x14ac:dyDescent="0.25">
      <c r="A38" s="309"/>
      <c r="B38" s="165" t="str">
        <f ca="1">IFERROR(VLOOKUP(E38,OFFSET(בקרה!$C$2,VLOOKUP(C38,בקרה!G:M,7,FALSE),0):OFFSET(בקרה!$D$6,VLOOKUP(C38,בקרה!G:M,7,FALSE),0),2,FALSE),"")</f>
        <v/>
      </c>
      <c r="C38" s="35" t="s">
        <v>101</v>
      </c>
      <c r="D38" s="176" t="s">
        <v>75</v>
      </c>
      <c r="E38" s="171"/>
      <c r="F38" s="271"/>
      <c r="G38" s="173"/>
      <c r="H38" s="276">
        <f t="shared" si="26"/>
        <v>0</v>
      </c>
      <c r="I38" s="276" t="str">
        <f t="shared" si="27"/>
        <v/>
      </c>
      <c r="J38" s="34"/>
      <c r="K38" s="126" t="str">
        <f>IF(OR(M38,L38),הגדרות!$B$19,הגדרות!$B$21)</f>
        <v/>
      </c>
      <c r="L38" s="32" t="b">
        <f t="shared" si="28"/>
        <v>1</v>
      </c>
      <c r="M38" s="32" t="b">
        <f t="shared" si="29"/>
        <v>0</v>
      </c>
      <c r="N38" s="32" t="str">
        <f>IF(K38=הגדרות!$B$21,הגדרות!$B$25,IF(AND(OR(תקציב!K38=הגדרות!$B$17,תקציב!K38=הגדרות!$B$18,תקציב!K38=הגדרות!$B$22),ISBLANK(תקציב!J38)),הגדרות!$B$25,הגדרות!$B$24))</f>
        <v>כן</v>
      </c>
      <c r="O38" s="122">
        <f>IF(N38=הגדרות!$B$24,1,-1)</f>
        <v>1</v>
      </c>
    </row>
    <row r="39" spans="1:15" ht="15.75" customHeight="1" x14ac:dyDescent="0.25">
      <c r="A39" s="309"/>
      <c r="B39" s="165" t="str">
        <f ca="1">IFERROR(VLOOKUP(E39,OFFSET(בקרה!$C$2,VLOOKUP(C39,בקרה!G:M,7,FALSE),0):OFFSET(בקרה!$D$6,VLOOKUP(C39,בקרה!G:M,7,FALSE),0),2,FALSE),"")</f>
        <v/>
      </c>
      <c r="C39" s="37" t="s">
        <v>102</v>
      </c>
      <c r="D39" s="176" t="s">
        <v>75</v>
      </c>
      <c r="E39" s="171"/>
      <c r="F39" s="271"/>
      <c r="G39" s="173"/>
      <c r="H39" s="276">
        <f t="shared" si="26"/>
        <v>0</v>
      </c>
      <c r="I39" s="276" t="str">
        <f t="shared" si="27"/>
        <v/>
      </c>
      <c r="J39" s="34"/>
      <c r="K39" s="126" t="str">
        <f>IF(OR(M39,L39),הגדרות!$B$19,הגדרות!$B$21)</f>
        <v/>
      </c>
      <c r="L39" s="32" t="b">
        <f t="shared" si="28"/>
        <v>1</v>
      </c>
      <c r="M39" s="32" t="b">
        <f t="shared" si="29"/>
        <v>0</v>
      </c>
      <c r="N39" s="32" t="str">
        <f>IF(K39=הגדרות!$B$21,הגדרות!$B$25,IF(AND(OR(תקציב!K39=הגדרות!$B$17,תקציב!K39=הגדרות!$B$18,תקציב!K39=הגדרות!$B$22),ISBLANK(תקציב!J39)),הגדרות!$B$25,הגדרות!$B$24))</f>
        <v>כן</v>
      </c>
      <c r="O39" s="122">
        <f>IF(N39=הגדרות!$B$24,1,-1)</f>
        <v>1</v>
      </c>
    </row>
    <row r="40" spans="1:15" ht="15.75" customHeight="1" thickBot="1" x14ac:dyDescent="0.3">
      <c r="A40" s="309"/>
      <c r="B40" s="165" t="str">
        <f ca="1">IFERROR(VLOOKUP(E40,OFFSET(בקרה!$C$2,VLOOKUP(C40,בקרה!G:M,7,FALSE),0):OFFSET(בקרה!$D$6,VLOOKUP(C40,בקרה!G:M,7,FALSE),0),2,FALSE),"")</f>
        <v/>
      </c>
      <c r="C40" s="257" t="s">
        <v>106</v>
      </c>
      <c r="D40" s="176" t="s">
        <v>75</v>
      </c>
      <c r="E40" s="171"/>
      <c r="F40" s="271"/>
      <c r="G40" s="173"/>
      <c r="H40" s="276">
        <f t="shared" si="26"/>
        <v>0</v>
      </c>
      <c r="I40" s="276" t="str">
        <f t="shared" si="27"/>
        <v/>
      </c>
      <c r="J40" s="34"/>
      <c r="K40" s="126" t="str">
        <f>IFERROR(IF(OR(L40,M40),IF(G40&gt;0,הגדרות!$B$18,הגדרות!$B$19),הגדרות!$B$21),הגדרות!$B$19)</f>
        <v/>
      </c>
      <c r="L40" s="32" t="b">
        <f t="shared" ref="L40" si="30">AND(ISBLANK(E40),OR(ISBLANK(F40),F40=0),OR(ISBLANK(G40),G40=0))</f>
        <v>1</v>
      </c>
      <c r="M40" s="32" t="b">
        <f t="shared" ref="M40" si="31">AND(E40&gt;0,F40&gt;0,G40&gt;0)</f>
        <v>0</v>
      </c>
      <c r="N40" s="32" t="str">
        <f>IF(K40=הגדרות!$B$21,הגדרות!$B$25,IF(AND(OR(תקציב!K40=הגדרות!$B$17,תקציב!K40=הגדרות!$B$18,תקציב!K40=הגדרות!$B$22),ISBLANK(תקציב!J40)),הגדרות!$B$25,הגדרות!$B$24))</f>
        <v>כן</v>
      </c>
      <c r="O40" s="122">
        <f>IF(N40=הגדרות!$B$24,1,-1)</f>
        <v>1</v>
      </c>
    </row>
    <row r="41" spans="1:15" ht="15" customHeight="1" thickBot="1" x14ac:dyDescent="0.3">
      <c r="A41" s="232"/>
      <c r="B41" s="231"/>
      <c r="C41" s="226" t="s">
        <v>107</v>
      </c>
      <c r="D41" s="232"/>
      <c r="E41" s="226"/>
      <c r="F41" s="274"/>
      <c r="G41" s="233"/>
      <c r="H41" s="277">
        <f>SUM(H35:H40)</f>
        <v>0</v>
      </c>
      <c r="I41" s="277">
        <f>SUM(I35:I40)</f>
        <v>0</v>
      </c>
      <c r="J41" s="226"/>
      <c r="K41" s="234"/>
      <c r="L41" s="226"/>
      <c r="M41" s="226"/>
      <c r="N41" s="226"/>
      <c r="O41" s="235"/>
    </row>
    <row r="42" spans="1:15" ht="15" customHeight="1" x14ac:dyDescent="0.25">
      <c r="A42" s="308" t="s">
        <v>123</v>
      </c>
      <c r="B42" s="165" t="str">
        <f ca="1">IFERROR(VLOOKUP(E42,OFFSET(בקרה!$C$2,VLOOKUP(C42,בקרה!G:M,7,FALSE),0):OFFSET(בקרה!$D$6,VLOOKUP(C42,בקרה!G:M,7,FALSE),0),2,FALSE),"")</f>
        <v/>
      </c>
      <c r="C42" s="160" t="s">
        <v>439</v>
      </c>
      <c r="D42" s="175"/>
      <c r="E42" s="171"/>
      <c r="F42" s="271"/>
      <c r="G42" s="173"/>
      <c r="H42" s="276">
        <f t="shared" ref="H42" si="32">G42*F42*D42</f>
        <v>0</v>
      </c>
      <c r="I42" s="276" t="str">
        <f t="shared" ref="I42:I43" si="33">IFERROR(H42/$D$7,"")</f>
        <v/>
      </c>
      <c r="J42" s="34"/>
      <c r="K42" s="126" t="str">
        <f>IF(OR(M42,L42),הגדרות!$B$19,הגדרות!$B$21)</f>
        <v/>
      </c>
      <c r="L42" s="32" t="b">
        <f t="shared" ref="L42" si="34">AND(OR(ISBLANK(D42),D42=0),ISBLANK(E42),OR(ISBLANK(F42),F42=0),OR(ISBLANK(G42),G42=0))</f>
        <v>1</v>
      </c>
      <c r="M42" s="32" t="b">
        <f t="shared" ref="M42" si="35">AND(D42&gt;0,E42&gt;0,F42&gt;0,G42&gt;0)</f>
        <v>0</v>
      </c>
      <c r="N42" s="32" t="str">
        <f>IF(K42=הגדרות!$B$21,הגדרות!$B$25,IF(AND(OR(תקציב!K42=הגדרות!$B$17,תקציב!K42=הגדרות!$B$18,תקציב!K42=הגדרות!$B$22),ISBLANK(תקציב!J42)),הגדרות!$B$25,הגדרות!$B$24))</f>
        <v>כן</v>
      </c>
      <c r="O42" s="122">
        <f>IF(N42=הגדרות!$B$24,1,-1)</f>
        <v>1</v>
      </c>
    </row>
    <row r="43" spans="1:15" ht="16.5" customHeight="1" thickBot="1" x14ac:dyDescent="0.3">
      <c r="A43" s="309"/>
      <c r="B43" s="165" t="str">
        <f ca="1">IFERROR(VLOOKUP(E43,OFFSET(בקרה!$C$2,VLOOKUP(C43,בקרה!G:M,7,FALSE),0):OFFSET(בקרה!$D$6,VLOOKUP(C43,בקרה!G:M,7,FALSE),0),2,FALSE),"")</f>
        <v/>
      </c>
      <c r="C43" s="160" t="s">
        <v>256</v>
      </c>
      <c r="D43" s="176" t="s">
        <v>75</v>
      </c>
      <c r="E43" s="171"/>
      <c r="F43" s="271"/>
      <c r="G43" s="173"/>
      <c r="H43" s="276">
        <f t="shared" ref="H43" si="36">G43*F43</f>
        <v>0</v>
      </c>
      <c r="I43" s="276" t="str">
        <f t="shared" si="33"/>
        <v/>
      </c>
      <c r="J43" s="34"/>
      <c r="K43" s="126" t="str">
        <f>IFERROR(IF(OR(L43,M43),IF(G43&gt;0,הגדרות!$B$18,הגדרות!$B$19),הגדרות!$B$21),הגדרות!$B$19)</f>
        <v/>
      </c>
      <c r="L43" s="32" t="b">
        <f t="shared" ref="L43" si="37">AND(ISBLANK(E43),OR(ISBLANK(F43),F43=0),OR(ISBLANK(G43),G43=0))</f>
        <v>1</v>
      </c>
      <c r="M43" s="32" t="b">
        <f t="shared" ref="M43" si="38">AND(E43&gt;0,F43&gt;0,G43&gt;0)</f>
        <v>0</v>
      </c>
      <c r="N43" s="32" t="str">
        <f>IF(K43=הגדרות!$B$21,הגדרות!$B$25,IF(AND(OR(תקציב!K43=הגדרות!$B$17,תקציב!K43=הגדרות!$B$18,תקציב!K43=הגדרות!$B$22),ISBLANK(תקציב!J43)),הגדרות!$B$25,הגדרות!$B$24))</f>
        <v>כן</v>
      </c>
      <c r="O43" s="122">
        <f>IF(N43=הגדרות!$B$24,1,-1)</f>
        <v>1</v>
      </c>
    </row>
    <row r="44" spans="1:15" ht="16.5" thickBot="1" x14ac:dyDescent="0.3">
      <c r="A44" s="232"/>
      <c r="B44" s="231"/>
      <c r="C44" s="226" t="s">
        <v>122</v>
      </c>
      <c r="D44" s="232"/>
      <c r="E44" s="226"/>
      <c r="F44" s="274"/>
      <c r="G44" s="233"/>
      <c r="H44" s="277">
        <f>SUM(H42:H43)</f>
        <v>0</v>
      </c>
      <c r="I44" s="277">
        <f>SUM(I42:I43)</f>
        <v>0</v>
      </c>
      <c r="J44" s="226"/>
      <c r="K44" s="234"/>
      <c r="L44" s="226"/>
      <c r="M44" s="226"/>
      <c r="N44" s="226"/>
      <c r="O44" s="235"/>
    </row>
    <row r="45" spans="1:15" ht="15.75" customHeight="1" thickBot="1" x14ac:dyDescent="0.3">
      <c r="A45" s="41"/>
      <c r="B45" s="165"/>
      <c r="C45" s="32"/>
      <c r="D45" s="41"/>
      <c r="E45" s="32"/>
      <c r="F45" s="275"/>
      <c r="G45" s="23"/>
      <c r="H45" s="282"/>
      <c r="I45" s="282"/>
      <c r="J45" s="32"/>
      <c r="K45" s="126"/>
      <c r="L45" s="32"/>
      <c r="M45" s="32"/>
      <c r="N45" s="32"/>
      <c r="O45" s="123"/>
    </row>
    <row r="46" spans="1:15" ht="16.5" customHeight="1" thickBot="1" x14ac:dyDescent="0.3">
      <c r="A46" s="232"/>
      <c r="B46" s="231"/>
      <c r="C46" s="226" t="s">
        <v>124</v>
      </c>
      <c r="D46" s="232"/>
      <c r="E46" s="226"/>
      <c r="F46" s="274"/>
      <c r="G46" s="233"/>
      <c r="H46" s="277">
        <f>SUM(H44,H41,H34,H29,H23,H21)</f>
        <v>0</v>
      </c>
      <c r="I46" s="277">
        <f>SUM(I44,I41,I34,I29,I23,I21)</f>
        <v>0</v>
      </c>
      <c r="J46" s="226"/>
      <c r="K46" s="234"/>
      <c r="L46" s="226"/>
      <c r="M46" s="226"/>
      <c r="N46" s="226"/>
      <c r="O46" s="235"/>
    </row>
    <row r="47" spans="1:15" x14ac:dyDescent="0.25">
      <c r="A47" s="41"/>
      <c r="B47" s="165"/>
      <c r="C47" s="32"/>
      <c r="D47" s="41"/>
      <c r="E47" s="32"/>
      <c r="F47" s="32"/>
      <c r="G47" s="23"/>
      <c r="H47" s="282"/>
      <c r="I47" s="282"/>
      <c r="J47" s="32"/>
      <c r="K47" s="126"/>
      <c r="L47" s="32"/>
      <c r="M47" s="32"/>
      <c r="N47" s="32"/>
      <c r="O47" s="123"/>
    </row>
    <row r="48" spans="1:15" ht="15.75" x14ac:dyDescent="0.25">
      <c r="A48" s="41"/>
      <c r="B48" s="165"/>
      <c r="C48" s="283" t="s">
        <v>30</v>
      </c>
      <c r="D48" s="41"/>
      <c r="E48" s="32"/>
      <c r="F48" s="187">
        <v>0</v>
      </c>
      <c r="G48" s="177"/>
      <c r="H48" s="278">
        <f>F48*H46</f>
        <v>0</v>
      </c>
      <c r="I48" s="278" t="str">
        <f>IFERROR(H48/$D$7,"")</f>
        <v/>
      </c>
      <c r="J48" s="32"/>
      <c r="K48" s="126"/>
      <c r="L48" s="32"/>
      <c r="M48" s="32"/>
      <c r="N48" s="32"/>
      <c r="O48" s="123"/>
    </row>
    <row r="49" spans="1:15" ht="16.5" thickBot="1" x14ac:dyDescent="0.3">
      <c r="A49" s="238"/>
      <c r="B49" s="237"/>
      <c r="C49" s="236" t="s">
        <v>125</v>
      </c>
      <c r="D49" s="238"/>
      <c r="E49" s="236"/>
      <c r="F49" s="236"/>
      <c r="G49" s="239"/>
      <c r="H49" s="279">
        <f>SUM(H48,H46)</f>
        <v>0</v>
      </c>
      <c r="I49" s="279">
        <f>IFERROR(I46+I48,0)</f>
        <v>0</v>
      </c>
      <c r="J49" s="236"/>
      <c r="K49" s="240"/>
      <c r="L49" s="236"/>
      <c r="M49" s="236"/>
      <c r="N49" s="236"/>
      <c r="O49" s="241"/>
    </row>
    <row r="50" spans="1:15" ht="15.75" customHeight="1" thickTop="1" x14ac:dyDescent="0.25">
      <c r="A50" s="311" t="s">
        <v>132</v>
      </c>
      <c r="B50" s="165" t="str">
        <f ca="1">IFERROR(VLOOKUP(E50,OFFSET(בקרה!$C$2,VLOOKUP(C50,בקרה!G:M,7,FALSE),0):OFFSET(בקרה!$D$6,VLOOKUP(C50,בקרה!G:M,7,FALSE),0),2,FALSE),"")</f>
        <v/>
      </c>
      <c r="C50" s="160" t="s">
        <v>252</v>
      </c>
      <c r="D50" s="38" t="s">
        <v>75</v>
      </c>
      <c r="E50" s="171"/>
      <c r="F50" s="172"/>
      <c r="G50" s="173"/>
      <c r="H50" s="276">
        <f t="shared" ref="H50:H53" si="39">G50*F50</f>
        <v>0</v>
      </c>
      <c r="I50" s="276" t="str">
        <f t="shared" ref="I50:I53" si="40">IFERROR(H50/$D$7,"")</f>
        <v/>
      </c>
      <c r="J50" s="34"/>
      <c r="K50" s="126" t="str">
        <f>IFERROR((IF(OR(L50,M50),IF(G50&gt;VLOOKUP(E50,בקרה!#REF!,4,FALSE),הגדרות!$B$18,הגדרות!$B$19),הגדרות!$B$21)),הגדרות!$B$19)</f>
        <v/>
      </c>
      <c r="L50" s="32" t="b">
        <f t="shared" ref="L50:L53" si="41">AND(ISBLANK(E50),OR(ISBLANK(F50),F50=0),OR(ISBLANK(G50),G50=0))</f>
        <v>1</v>
      </c>
      <c r="M50" s="32" t="b">
        <f t="shared" ref="M50:M53" si="42">AND(E50&gt;0,F50&gt;0,G50&gt;0)</f>
        <v>0</v>
      </c>
      <c r="N50" s="32" t="str">
        <f>IF(K50=הגדרות!$B$21,הגדרות!$B$25,IF(AND(OR(תקציב!K50=הגדרות!$B$17,תקציב!K50=הגדרות!$B$18,תקציב!K50=הגדרות!$B$22),ISBLANK(תקציב!J50)),הגדרות!$B$25,הגדרות!$B$24))</f>
        <v>כן</v>
      </c>
      <c r="O50" s="122">
        <f>IF(N50=הגדרות!$B$24,1,-1)</f>
        <v>1</v>
      </c>
    </row>
    <row r="51" spans="1:15" ht="15.75" customHeight="1" x14ac:dyDescent="0.25">
      <c r="A51" s="309"/>
      <c r="B51" s="165" t="str">
        <f ca="1">IFERROR(VLOOKUP(E51,OFFSET(בקרה!$C$2,VLOOKUP(C51,בקרה!G:M,7,FALSE),0):OFFSET(בקרה!$D$6,VLOOKUP(C51,בקרה!G:M,7,FALSE),0),2,FALSE),"")</f>
        <v/>
      </c>
      <c r="C51" s="160" t="s">
        <v>128</v>
      </c>
      <c r="D51" s="38" t="s">
        <v>75</v>
      </c>
      <c r="E51" s="171"/>
      <c r="F51" s="172"/>
      <c r="G51" s="173"/>
      <c r="H51" s="276">
        <f t="shared" si="39"/>
        <v>0</v>
      </c>
      <c r="I51" s="276" t="str">
        <f t="shared" si="40"/>
        <v/>
      </c>
      <c r="J51" s="34"/>
      <c r="K51" s="126" t="str">
        <f>IFERROR((IF(OR(L51,M51),IF(G51&gt;VLOOKUP(E51,בקרה!H137:K138,4,FALSE),הגדרות!$B$18,הגדרות!$B$19),הגדרות!$B$21)),הגדרות!$B$19)</f>
        <v/>
      </c>
      <c r="L51" s="32" t="b">
        <f t="shared" si="41"/>
        <v>1</v>
      </c>
      <c r="M51" s="32" t="b">
        <f t="shared" si="42"/>
        <v>0</v>
      </c>
      <c r="N51" s="32" t="str">
        <f>IF(K51=הגדרות!$B$21,הגדרות!$B$25,IF(AND(OR(תקציב!K51=הגדרות!$B$17,תקציב!K51=הגדרות!$B$18,תקציב!K51=הגדרות!$B$22),ISBLANK(תקציב!J51)),הגדרות!$B$25,הגדרות!$B$24))</f>
        <v>כן</v>
      </c>
      <c r="O51" s="122">
        <f>IF(N51=הגדרות!$B$24,1,-1)</f>
        <v>1</v>
      </c>
    </row>
    <row r="52" spans="1:15" ht="15.75" customHeight="1" x14ac:dyDescent="0.25">
      <c r="A52" s="309"/>
      <c r="B52" s="165" t="str">
        <f ca="1">IFERROR(VLOOKUP(E52,OFFSET(בקרה!$C$2,VLOOKUP(C52,בקרה!G:M,7,FALSE),0):OFFSET(בקרה!$D$6,VLOOKUP(C52,בקרה!G:M,7,FALSE),0),2,FALSE),"")</f>
        <v/>
      </c>
      <c r="C52" s="160" t="s">
        <v>129</v>
      </c>
      <c r="D52" s="38" t="s">
        <v>75</v>
      </c>
      <c r="E52" s="171"/>
      <c r="F52" s="172"/>
      <c r="G52" s="173"/>
      <c r="H52" s="276">
        <f t="shared" si="39"/>
        <v>0</v>
      </c>
      <c r="I52" s="276" t="str">
        <f t="shared" si="40"/>
        <v/>
      </c>
      <c r="J52" s="34"/>
      <c r="K52" s="126" t="str">
        <f>IFERROR((IF(OR(L52,M52),IF(G52&gt;VLOOKUP(E52,בקרה!H142:K142,4,FALSE),הגדרות!$B$18,הגדרות!$B$19),הגדרות!$B$21)),הגדרות!$B$19)</f>
        <v/>
      </c>
      <c r="L52" s="32" t="b">
        <f t="shared" si="41"/>
        <v>1</v>
      </c>
      <c r="M52" s="32" t="b">
        <f t="shared" si="42"/>
        <v>0</v>
      </c>
      <c r="N52" s="32" t="str">
        <f>IF(K52=הגדרות!$B$21,הגדרות!$B$25,IF(AND(OR(תקציב!K52=הגדרות!$B$17,תקציב!K52=הגדרות!$B$18,תקציב!K52=הגדרות!$B$22),ISBLANK(תקציב!J52)),הגדרות!$B$25,הגדרות!$B$24))</f>
        <v>כן</v>
      </c>
      <c r="O52" s="122">
        <f>IF(N52=הגדרות!$B$24,1,-1)</f>
        <v>1</v>
      </c>
    </row>
    <row r="53" spans="1:15" ht="15.75" customHeight="1" x14ac:dyDescent="0.25">
      <c r="A53" s="312"/>
      <c r="B53" s="165" t="str">
        <f ca="1">IFERROR(VLOOKUP(E53,OFFSET(בקרה!$C$2,VLOOKUP(C53,בקרה!G:M,7,FALSE),0):OFFSET(בקרה!$D$6,VLOOKUP(C53,בקרה!G:M,7,FALSE),0),2,FALSE),"")</f>
        <v/>
      </c>
      <c r="C53" s="160" t="s">
        <v>156</v>
      </c>
      <c r="D53" s="38" t="s">
        <v>75</v>
      </c>
      <c r="E53" s="171"/>
      <c r="F53" s="172"/>
      <c r="G53" s="173"/>
      <c r="H53" s="276">
        <f t="shared" si="39"/>
        <v>0</v>
      </c>
      <c r="I53" s="276" t="str">
        <f t="shared" si="40"/>
        <v/>
      </c>
      <c r="J53" s="34"/>
      <c r="K53" s="126" t="str">
        <f>IFERROR((IF(OR(L53,M53),IF(G53&gt;VLOOKUP(E53,בקרה!H151:K151,4,FALSE),הגדרות!$B$18,הגדרות!$B$19),הגדרות!$B$21)),הגדרות!$B$19)</f>
        <v/>
      </c>
      <c r="L53" s="32" t="b">
        <f t="shared" si="41"/>
        <v>1</v>
      </c>
      <c r="M53" s="32" t="b">
        <f t="shared" si="42"/>
        <v>0</v>
      </c>
      <c r="N53" s="32" t="str">
        <f>IF(K53=הגדרות!$B$21,הגדרות!$B$25,IF(AND(OR(תקציב!K53=הגדרות!$B$17,תקציב!K53=הגדרות!$B$18,תקציב!K53=הגדרות!$B$22),ISBLANK(תקציב!J53)),הגדרות!$B$25,הגדרות!$B$24))</f>
        <v>כן</v>
      </c>
      <c r="O53" s="122">
        <f>IF(N53=הגדרות!$B$24,1,-1)</f>
        <v>1</v>
      </c>
    </row>
    <row r="54" spans="1:15" ht="16.5" customHeight="1" thickBot="1" x14ac:dyDescent="0.3">
      <c r="A54" s="238"/>
      <c r="B54" s="237"/>
      <c r="C54" s="236" t="s">
        <v>131</v>
      </c>
      <c r="D54" s="238"/>
      <c r="E54" s="236"/>
      <c r="F54" s="236"/>
      <c r="G54" s="239"/>
      <c r="H54" s="279">
        <f>SUM(H49,H50:H53)</f>
        <v>0</v>
      </c>
      <c r="I54" s="279">
        <f>SUM(I49,I50:I53)</f>
        <v>0</v>
      </c>
      <c r="J54" s="236"/>
      <c r="K54" s="240"/>
      <c r="L54" s="236"/>
      <c r="M54" s="236"/>
      <c r="N54" s="236"/>
      <c r="O54" s="241"/>
    </row>
    <row r="55" spans="1:15" ht="16.5" thickTop="1" x14ac:dyDescent="0.25">
      <c r="A55" s="41"/>
      <c r="B55" s="165"/>
      <c r="C55" s="32"/>
      <c r="D55" s="41"/>
      <c r="E55" s="32"/>
      <c r="F55" s="160"/>
      <c r="G55" s="178"/>
      <c r="H55" s="276"/>
      <c r="I55" s="276"/>
      <c r="J55" s="32"/>
      <c r="K55" s="126"/>
      <c r="L55" s="32"/>
      <c r="M55" s="32"/>
      <c r="N55" s="32"/>
      <c r="O55" s="123"/>
    </row>
    <row r="56" spans="1:15" ht="15.75" x14ac:dyDescent="0.25">
      <c r="A56" s="41"/>
      <c r="B56" s="165"/>
      <c r="C56" s="126" t="s">
        <v>31</v>
      </c>
      <c r="D56" s="41"/>
      <c r="E56" s="32"/>
      <c r="F56" s="188">
        <v>0</v>
      </c>
      <c r="G56" s="178"/>
      <c r="H56" s="276">
        <f>F56*H46</f>
        <v>0</v>
      </c>
      <c r="I56" s="276" t="str">
        <f>IFERROR(H56/$D$7,"")</f>
        <v/>
      </c>
      <c r="J56" s="32"/>
      <c r="K56" s="126"/>
      <c r="L56" s="32"/>
      <c r="M56" s="32"/>
      <c r="N56" s="32"/>
      <c r="O56" s="123"/>
    </row>
    <row r="57" spans="1:15" ht="22.5" customHeight="1" thickBot="1" x14ac:dyDescent="0.3">
      <c r="A57" s="42"/>
      <c r="B57" s="159"/>
      <c r="C57" s="39" t="s">
        <v>133</v>
      </c>
      <c r="D57" s="42"/>
      <c r="E57" s="39"/>
      <c r="F57" s="39"/>
      <c r="G57" s="43"/>
      <c r="H57" s="280">
        <f>SUM(H56,H54)</f>
        <v>0</v>
      </c>
      <c r="I57" s="280">
        <f>SUM(I56,I54)</f>
        <v>0</v>
      </c>
      <c r="J57" s="39"/>
      <c r="K57" s="127"/>
      <c r="L57" s="39"/>
      <c r="M57" s="39"/>
      <c r="N57" s="39"/>
      <c r="O57" s="124"/>
    </row>
    <row r="58" spans="1:15" ht="16.5" thickTop="1" x14ac:dyDescent="0.25">
      <c r="A58" s="41"/>
      <c r="B58" s="165"/>
      <c r="C58" s="32"/>
      <c r="D58" s="41"/>
      <c r="E58" s="32"/>
      <c r="F58" s="160"/>
      <c r="G58" s="178"/>
      <c r="H58" s="276"/>
      <c r="I58" s="276"/>
      <c r="J58" s="32"/>
      <c r="K58" s="126"/>
      <c r="L58" s="32"/>
      <c r="M58" s="32"/>
      <c r="N58" s="32"/>
      <c r="O58" s="123"/>
    </row>
    <row r="59" spans="1:15" ht="15.75" x14ac:dyDescent="0.25">
      <c r="A59" s="41"/>
      <c r="B59" s="165"/>
      <c r="C59" s="283" t="s">
        <v>32</v>
      </c>
      <c r="D59" s="41"/>
      <c r="E59" s="32"/>
      <c r="F59" s="179">
        <v>0.17</v>
      </c>
      <c r="G59" s="178"/>
      <c r="H59" s="276">
        <f>F59*H57</f>
        <v>0</v>
      </c>
      <c r="I59" s="276" t="str">
        <f>IFERROR(H59/$D$7,"")</f>
        <v/>
      </c>
      <c r="J59" s="32"/>
      <c r="K59" s="126"/>
      <c r="L59" s="32"/>
      <c r="M59" s="32"/>
      <c r="N59" s="32"/>
      <c r="O59" s="123"/>
    </row>
    <row r="60" spans="1:15" s="161" customFormat="1" ht="24" customHeight="1" thickBot="1" x14ac:dyDescent="0.25">
      <c r="A60" s="284"/>
      <c r="B60" s="181"/>
      <c r="C60" s="182" t="s">
        <v>134</v>
      </c>
      <c r="D60" s="183"/>
      <c r="E60" s="184"/>
      <c r="F60" s="184"/>
      <c r="G60" s="185"/>
      <c r="H60" s="281">
        <f>SUM(H59,H57)</f>
        <v>0</v>
      </c>
      <c r="I60" s="281">
        <f>SUM(I59,I57)</f>
        <v>0</v>
      </c>
      <c r="J60" s="180"/>
      <c r="K60" s="186"/>
      <c r="L60" s="180"/>
      <c r="M60" s="180"/>
      <c r="N60" s="180"/>
      <c r="O60" s="223"/>
    </row>
    <row r="61" spans="1:15" ht="15.75" thickTop="1" x14ac:dyDescent="0.25"/>
  </sheetData>
  <sheetProtection formatCells="0"/>
  <protectedRanges>
    <protectedRange sqref="C35:C40" name="טווח1"/>
    <protectedRange sqref="C46" name="טווח1_1"/>
  </protectedRanges>
  <dataConsolidate/>
  <mergeCells count="11">
    <mergeCell ref="A17:A20"/>
    <mergeCell ref="A24:A28"/>
    <mergeCell ref="A30:A33"/>
    <mergeCell ref="A50:A53"/>
    <mergeCell ref="A35:A40"/>
    <mergeCell ref="A42:A43"/>
    <mergeCell ref="D2:I2"/>
    <mergeCell ref="D3:I3"/>
    <mergeCell ref="C6:E6"/>
    <mergeCell ref="D7:E7"/>
    <mergeCell ref="G6:I6"/>
  </mergeCells>
  <conditionalFormatting sqref="I12">
    <cfRule type="expression" dxfId="30" priority="116">
      <formula>$I$12="לא הוזן מספר פרקים"</formula>
    </cfRule>
  </conditionalFormatting>
  <conditionalFormatting sqref="D7:E7 D10:E10">
    <cfRule type="containsBlanks" dxfId="29" priority="115">
      <formula>LEN(TRIM(D7))=0</formula>
    </cfRule>
  </conditionalFormatting>
  <conditionalFormatting sqref="E9">
    <cfRule type="containsBlanks" dxfId="28" priority="114">
      <formula>LEN(TRIM(E9))=0</formula>
    </cfRule>
  </conditionalFormatting>
  <conditionalFormatting sqref="K3">
    <cfRule type="iconSet" priority="112">
      <iconSet iconSet="3Symbols" showValue="0">
        <cfvo type="percent" val="0"/>
        <cfvo type="num" val="0"/>
        <cfvo type="num" val="0" gte="0"/>
      </iconSet>
    </cfRule>
  </conditionalFormatting>
  <conditionalFormatting sqref="D2:I3">
    <cfRule type="containsBlanks" dxfId="27" priority="109">
      <formula>LEN(TRIM(D2))=0</formula>
    </cfRule>
  </conditionalFormatting>
  <conditionalFormatting sqref="O24:O27">
    <cfRule type="iconSet" priority="76">
      <iconSet iconSet="3Symbols" showValue="0">
        <cfvo type="percent" val="0"/>
        <cfvo type="num" val="0"/>
        <cfvo type="num" val="0" gte="0"/>
      </iconSet>
    </cfRule>
  </conditionalFormatting>
  <conditionalFormatting sqref="I13">
    <cfRule type="expression" dxfId="26" priority="20">
      <formula>$I$13="לא הוזן אורך תכנית"</formula>
    </cfRule>
    <cfRule type="expression" dxfId="25" priority="21">
      <formula>$I$12="לא הוזן מספר פרקים"</formula>
    </cfRule>
  </conditionalFormatting>
  <conditionalFormatting sqref="O22">
    <cfRule type="iconSet" priority="204">
      <iconSet iconSet="3Symbols" showValue="0">
        <cfvo type="percent" val="0"/>
        <cfvo type="num" val="0"/>
        <cfvo type="num" val="0" gte="0"/>
      </iconSet>
    </cfRule>
  </conditionalFormatting>
  <conditionalFormatting sqref="O50:O53">
    <cfRule type="iconSet" priority="223">
      <iconSet iconSet="3Symbols" showValue="0">
        <cfvo type="percent" val="0"/>
        <cfvo type="num" val="0"/>
        <cfvo type="num" val="0" gte="0"/>
      </iconSet>
    </cfRule>
  </conditionalFormatting>
  <conditionalFormatting sqref="O20">
    <cfRule type="iconSet" priority="224">
      <iconSet iconSet="3Symbols" showValue="0">
        <cfvo type="percent" val="0"/>
        <cfvo type="num" val="0"/>
        <cfvo type="num" val="0" gte="0"/>
      </iconSet>
    </cfRule>
  </conditionalFormatting>
  <conditionalFormatting sqref="O17:O19">
    <cfRule type="iconSet" priority="225">
      <iconSet iconSet="3Symbols" showValue="0">
        <cfvo type="percent" val="0"/>
        <cfvo type="num" val="0"/>
        <cfvo type="num" val="0" gte="0"/>
      </iconSet>
    </cfRule>
  </conditionalFormatting>
  <conditionalFormatting sqref="O28">
    <cfRule type="iconSet" priority="226">
      <iconSet iconSet="3Symbols" showValue="0">
        <cfvo type="percent" val="0"/>
        <cfvo type="num" val="0"/>
        <cfvo type="num" val="0" gte="0"/>
      </iconSet>
    </cfRule>
  </conditionalFormatting>
  <conditionalFormatting sqref="O30:O33">
    <cfRule type="iconSet" priority="241">
      <iconSet iconSet="3Symbols" showValue="0">
        <cfvo type="percent" val="0"/>
        <cfvo type="num" val="0"/>
        <cfvo type="num" val="0" gte="0"/>
      </iconSet>
    </cfRule>
  </conditionalFormatting>
  <conditionalFormatting sqref="O35:O40">
    <cfRule type="iconSet" priority="242">
      <iconSet iconSet="3Symbols" showValue="0">
        <cfvo type="percent" val="0"/>
        <cfvo type="num" val="0"/>
        <cfvo type="num" val="0" gte="0"/>
      </iconSet>
    </cfRule>
  </conditionalFormatting>
  <conditionalFormatting sqref="O42:O43">
    <cfRule type="iconSet" priority="243">
      <iconSet iconSet="3Symbols" showValue="0">
        <cfvo type="percent" val="0"/>
        <cfvo type="num" val="0"/>
        <cfvo type="num" val="0" gte="0"/>
      </iconSet>
    </cfRule>
  </conditionalFormatting>
  <dataValidations xWindow="554" yWindow="791" count="2">
    <dataValidation allowBlank="1" showInputMessage="1" showErrorMessage="1" prompt="נא להזין שם התכנית" sqref="D2:I2" xr:uid="{00000000-0002-0000-0100-000000000000}"/>
    <dataValidation type="decimal" operator="greaterThanOrEqual" allowBlank="1" showInputMessage="1" showErrorMessage="1" sqref="D24:D27 D22 D42 D7:E7 F22:G22 F24:G28 F42:G43 D17:D19 F50:G53 F35:G40 E9:E12 F17:G20 F30:G33" xr:uid="{00000000-0002-0000-0100-000001000000}">
      <formula1>0</formula1>
    </dataValidation>
  </dataValidations>
  <pageMargins left="0.25" right="0.25" top="0.75" bottom="0.75" header="0.3" footer="0.3"/>
  <pageSetup paperSize="9" scale="50" fitToHeight="0" orientation="landscape" r:id="rId1"/>
  <ignoredErrors>
    <ignoredError sqref="I49 I23 I34 I21 I41 H29:I29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8" id="{15DDC386-FE77-444A-A143-C3AC29A10A82}">
            <xm:f>AND(OR($K17=הגדרות!$B$17,$K17=הגדרות!$B$18,$K17=הגדרות!$B$22),ISBLANK($J17))</xm:f>
            <x14:dxf>
              <fill>
                <patternFill>
                  <bgColor rgb="FFF84E4E"/>
                </patternFill>
              </fill>
            </x14:dxf>
          </x14:cfRule>
          <xm:sqref>J22 J50:J53 J17:J20 J24:J28 J30:J33 J35:J40 J42:J43</xm:sqref>
        </x14:conditionalFormatting>
        <x14:conditionalFormatting xmlns:xm="http://schemas.microsoft.com/office/excel/2006/main">
          <x14:cfRule type="expression" priority="171" id="{2F775F19-906E-490E-AB38-D3707B67D7A0}">
            <xm:f>AND($K17=הגדרות!$B$21,ISBLANK($D17))</xm:f>
            <x14:dxf>
              <fill>
                <patternFill>
                  <bgColor rgb="FFF84E4E"/>
                </patternFill>
              </fill>
            </x14:dxf>
          </x14:cfRule>
          <xm:sqref>D22 D42 D17:D20 D28</xm:sqref>
        </x14:conditionalFormatting>
        <x14:conditionalFormatting xmlns:xm="http://schemas.microsoft.com/office/excel/2006/main">
          <x14:cfRule type="expression" priority="169" id="{058EEE89-1308-4A88-9CC2-9FCECCF0C8C2}">
            <xm:f>AND($K17=הגדרות!$B$21,ISBLANK($E17))</xm:f>
            <x14:dxf>
              <fill>
                <patternFill>
                  <bgColor rgb="FFF84E4E"/>
                </patternFill>
              </fill>
            </x14:dxf>
          </x14:cfRule>
          <xm:sqref>E22 E17:E20 E24:E28 E30:E33 E35:E40 E42:E43</xm:sqref>
        </x14:conditionalFormatting>
        <x14:conditionalFormatting xmlns:xm="http://schemas.microsoft.com/office/excel/2006/main">
          <x14:cfRule type="expression" priority="167" id="{52C63356-960B-4B4C-A2DF-03BAA5FD9081}">
            <xm:f>AND($K17=הגדרות!$B$21,ISBLANK($F17))</xm:f>
            <x14:dxf>
              <fill>
                <patternFill>
                  <bgColor rgb="FFF84E4E"/>
                </patternFill>
              </fill>
            </x14:dxf>
          </x14:cfRule>
          <xm:sqref>F22 F35:F40 F50:F53 F17:F20 F27:F28 F30:F33 F42:F43</xm:sqref>
        </x14:conditionalFormatting>
        <x14:conditionalFormatting xmlns:xm="http://schemas.microsoft.com/office/excel/2006/main">
          <x14:cfRule type="expression" priority="166" id="{0F7183A9-2CCA-41AD-A5CF-CC45211BEE62}">
            <xm:f>AND($K17=הגדרות!$B$21,ISBLANK($G17))</xm:f>
            <x14:dxf>
              <fill>
                <patternFill>
                  <bgColor rgb="FFF84E4E"/>
                </patternFill>
              </fill>
            </x14:dxf>
          </x14:cfRule>
          <xm:sqref>G22 G35:G40 G50:G53 G17:G20 G27:G28 G30:G33 G42:G43</xm:sqref>
        </x14:conditionalFormatting>
        <x14:conditionalFormatting xmlns:xm="http://schemas.microsoft.com/office/excel/2006/main">
          <x14:cfRule type="expression" priority="110" id="{DAAC30BF-C77C-4DE6-9F36-10A365384BE3}">
            <xm:f>OR($K$4=הגדרות!$B$27,$K$4=הגדרות!$B$28,$K$4=הגדרות!$B$29)</xm:f>
            <x14:dxf>
              <font>
                <color rgb="FFFF0000"/>
              </font>
            </x14:dxf>
          </x14:cfRule>
          <x14:cfRule type="expression" priority="111" id="{80C5CD28-87B3-4FA7-80A7-A71693EAD2D4}">
            <xm:f>$K$4=הגדרות!$B$30</xm:f>
            <x14:dxf>
              <font>
                <color rgb="FF00B050"/>
              </font>
            </x14:dxf>
          </x14:cfRule>
          <xm:sqref>K4</xm:sqref>
        </x14:conditionalFormatting>
        <x14:conditionalFormatting xmlns:xm="http://schemas.microsoft.com/office/excel/2006/main">
          <x14:cfRule type="expression" priority="62" id="{2B13C1B3-6747-4558-AE22-DED75167C36F}">
            <xm:f>AND($K24=הגדרות!$B$21,ISBLANK($D24))</xm:f>
            <x14:dxf>
              <fill>
                <patternFill>
                  <bgColor rgb="FFF84E4E"/>
                </patternFill>
              </fill>
            </x14:dxf>
          </x14:cfRule>
          <xm:sqref>D24:D26</xm:sqref>
        </x14:conditionalFormatting>
        <x14:conditionalFormatting xmlns:xm="http://schemas.microsoft.com/office/excel/2006/main">
          <x14:cfRule type="expression" priority="60" id="{1AC174E7-E7A4-4710-8EA4-C85870580B24}">
            <xm:f>AND($K24=הגדרות!$B$21,ISBLANK($G24))</xm:f>
            <x14:dxf>
              <fill>
                <patternFill>
                  <bgColor rgb="FFF84E4E"/>
                </patternFill>
              </fill>
            </x14:dxf>
          </x14:cfRule>
          <xm:sqref>G24:G26</xm:sqref>
        </x14:conditionalFormatting>
        <x14:conditionalFormatting xmlns:xm="http://schemas.microsoft.com/office/excel/2006/main">
          <x14:cfRule type="expression" priority="59" id="{D68A21B1-6623-458C-889C-609B814C150C}">
            <xm:f>AND($K24=הגדרות!$B$21,ISBLANK($F24))</xm:f>
            <x14:dxf>
              <fill>
                <patternFill>
                  <bgColor rgb="FFF84E4E"/>
                </patternFill>
              </fill>
            </x14:dxf>
          </x14:cfRule>
          <xm:sqref>F24:F26</xm:sqref>
        </x14:conditionalFormatting>
        <x14:conditionalFormatting xmlns:xm="http://schemas.microsoft.com/office/excel/2006/main">
          <x14:cfRule type="expression" priority="1" id="{69538244-8B4E-435A-8707-4F8127C8C60E}">
            <xm:f>AND($K50=הגדרות!$B$21,ISBLANK($E50))</xm:f>
            <x14:dxf>
              <fill>
                <patternFill>
                  <bgColor rgb="FFF84E4E"/>
                </patternFill>
              </fill>
            </x14:dxf>
          </x14:cfRule>
          <xm:sqref>E50:E53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54" yWindow="791" count="6">
        <x14:dataValidation type="list" allowBlank="1" showInputMessage="1" showErrorMessage="1" prompt="בחר מהרשימה" xr:uid="{00000000-0002-0000-0100-000002000000}">
          <x14:formula1>
            <xm:f>הגדרות!$G$2</xm:f>
          </x14:formula1>
          <xm:sqref>E45</xm:sqref>
        </x14:dataValidation>
        <x14:dataValidation type="list" allowBlank="1" showInputMessage="1" showErrorMessage="1" prompt="בחר מהרשימה" xr:uid="{00000000-0002-0000-0100-000003000000}">
          <x14:formula1>
            <xm:f>הגדרות!$A$2:$A$6</xm:f>
          </x14:formula1>
          <xm:sqref>E22 E24:E28 E35:E40 E42:E43 E50:E53 E17:E20 E30:E33</xm:sqref>
        </x14:dataValidation>
        <x14:dataValidation type="list" allowBlank="1" showInputMessage="1" showErrorMessage="1" xr:uid="{00000000-0002-0000-0100-000004000000}">
          <x14:formula1>
            <xm:f>הגדרות!$C$2:$C$4</xm:f>
          </x14:formula1>
          <xm:sqref>D10:D12</xm:sqref>
        </x14:dataValidation>
        <x14:dataValidation type="decimal" allowBlank="1" showInputMessage="1" showErrorMessage="1" prompt="רווח מקסימלי - 10% מסך העלות הישירה" xr:uid="{00000000-0002-0000-0100-000005000000}">
          <x14:formula1>
            <xm:f>הגדרות!B9</xm:f>
          </x14:formula1>
          <x14:formula2>
            <xm:f>הגדרות!C9</xm:f>
          </x14:formula2>
          <xm:sqref>F56</xm:sqref>
        </x14:dataValidation>
        <x14:dataValidation type="decimal" operator="equal" allowBlank="1" showInputMessage="1" showErrorMessage="1" xr:uid="{00000000-0002-0000-0100-000006000000}">
          <x14:formula1>
            <xm:f>הגדרות!B11</xm:f>
          </x14:formula1>
          <xm:sqref>F59</xm:sqref>
        </x14:dataValidation>
        <x14:dataValidation type="decimal" allowBlank="1" showInputMessage="1" showErrorMessage="1" prompt="מקסימום - 10%" xr:uid="{00000000-0002-0000-0100-000007000000}">
          <x14:formula1>
            <xm:f>הגדרות!B8</xm:f>
          </x14:formula1>
          <x14:formula2>
            <xm:f>הגדרות!C8</xm:f>
          </x14:formula2>
          <xm:sqref>F48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23"/>
  <sheetViews>
    <sheetView rightToLeft="1" workbookViewId="0">
      <selection activeCell="I19" sqref="I19"/>
    </sheetView>
  </sheetViews>
  <sheetFormatPr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5" style="6" customWidth="1"/>
    <col min="9" max="9" width="14.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313">
        <f>תקציב!D2</f>
        <v>0</v>
      </c>
      <c r="D2" s="314"/>
      <c r="E2" s="314"/>
      <c r="F2" s="315"/>
    </row>
    <row r="3" spans="3:10" ht="30" customHeight="1" thickBot="1" x14ac:dyDescent="0.25">
      <c r="C3" s="313">
        <f>תקציב!D3</f>
        <v>0</v>
      </c>
      <c r="D3" s="314"/>
      <c r="E3" s="314"/>
      <c r="F3" s="315"/>
    </row>
    <row r="5" spans="3:10" ht="15" thickBot="1" x14ac:dyDescent="0.25"/>
    <row r="6" spans="3:10" ht="24.95" customHeight="1" thickBot="1" x14ac:dyDescent="0.25">
      <c r="C6" s="189" t="s">
        <v>59</v>
      </c>
      <c r="D6" s="167"/>
      <c r="E6" s="167" t="s">
        <v>136</v>
      </c>
      <c r="F6" s="190" t="s">
        <v>63</v>
      </c>
      <c r="H6" s="316" t="str">
        <f>תקציב!C6</f>
        <v>פרטים כלליים</v>
      </c>
      <c r="I6" s="317"/>
      <c r="J6" s="318"/>
    </row>
    <row r="7" spans="3:10" s="2" customFormat="1" ht="21.95" customHeight="1" thickBot="1" x14ac:dyDescent="0.25">
      <c r="C7" s="191" t="str">
        <f>MID(תקציב!C21,6,LEN(תקציב!C21)-5)</f>
        <v>מערכת</v>
      </c>
      <c r="D7" s="192"/>
      <c r="E7" s="287">
        <f>תקציב!H21</f>
        <v>0</v>
      </c>
      <c r="F7" s="288">
        <f>תקציב!I21</f>
        <v>0</v>
      </c>
      <c r="H7" s="193" t="str">
        <f>תקציב!C7</f>
        <v>מספר תכניות/פרקים</v>
      </c>
      <c r="I7" s="319">
        <f>תקציב!D7</f>
        <v>0</v>
      </c>
      <c r="J7" s="320"/>
    </row>
    <row r="8" spans="3:10" s="2" customFormat="1" ht="21.95" customHeight="1" thickBot="1" x14ac:dyDescent="0.25">
      <c r="C8" s="191" t="str">
        <f>MID(תקציב!C23,6,LEN(תקציב!C23)-5)</f>
        <v>צוות טכני</v>
      </c>
      <c r="D8" s="192"/>
      <c r="E8" s="287">
        <f>תקציב!H23</f>
        <v>0</v>
      </c>
      <c r="F8" s="288">
        <f>תקציב!I23</f>
        <v>0</v>
      </c>
      <c r="H8" s="194"/>
      <c r="I8" s="195" t="str">
        <f>תקציב!D8</f>
        <v>יחידת מידה</v>
      </c>
      <c r="J8" s="196" t="str">
        <f>תקציב!E8</f>
        <v>כמות יחידות</v>
      </c>
    </row>
    <row r="9" spans="3:10" s="2" customFormat="1" ht="21.95" customHeight="1" x14ac:dyDescent="0.2">
      <c r="C9" s="191" t="str">
        <f>MID(תקציב!C29,6,LEN(תקציב!C29)-5)</f>
        <v>הגשה</v>
      </c>
      <c r="D9" s="192"/>
      <c r="E9" s="287">
        <f>תקציב!H29</f>
        <v>0</v>
      </c>
      <c r="F9" s="288">
        <f>תקציב!I29</f>
        <v>0</v>
      </c>
      <c r="H9" s="197" t="str">
        <f>תקציב!C9</f>
        <v>אורך פרק</v>
      </c>
      <c r="I9" s="198">
        <f>תקציב!D9</f>
        <v>0</v>
      </c>
      <c r="J9" s="199">
        <f>תקציב!E9</f>
        <v>0</v>
      </c>
    </row>
    <row r="10" spans="3:10" s="2" customFormat="1" ht="21.95" customHeight="1" thickBot="1" x14ac:dyDescent="0.25">
      <c r="C10" s="191" t="str">
        <f>MID(תקציב!C34,6,LEN(תקציב!C34)-5)</f>
        <v>אולפן, ציוד טכני וחו"ג</v>
      </c>
      <c r="D10" s="192"/>
      <c r="E10" s="287">
        <f>תקציב!H34</f>
        <v>0</v>
      </c>
      <c r="F10" s="288">
        <f>תקציב!I34</f>
        <v>0</v>
      </c>
      <c r="H10" s="203" t="str">
        <f>תקציב!C10</f>
        <v>תקופת ההפקה</v>
      </c>
      <c r="I10" s="204">
        <f>תקציב!D10</f>
        <v>0</v>
      </c>
      <c r="J10" s="205">
        <f>תקציב!E10</f>
        <v>0</v>
      </c>
    </row>
    <row r="11" spans="3:10" s="2" customFormat="1" ht="21.95" customHeight="1" x14ac:dyDescent="0.2">
      <c r="C11" s="191" t="str">
        <f>MID(תקציב!C41,6,LEN(תקציב!C41)-5)</f>
        <v>שונות</v>
      </c>
      <c r="D11" s="192"/>
      <c r="E11" s="287">
        <f>תקציב!H41</f>
        <v>0</v>
      </c>
      <c r="F11" s="288">
        <f>תקציב!I41</f>
        <v>0</v>
      </c>
    </row>
    <row r="12" spans="3:10" s="2" customFormat="1" ht="21.95" customHeight="1" x14ac:dyDescent="0.2">
      <c r="C12" s="191" t="str">
        <f>MID(תקציב!C44,6,LEN(תקציב!C44)-5)</f>
        <v>עריכה</v>
      </c>
      <c r="D12" s="192"/>
      <c r="E12" s="287">
        <f>תקציב!H44</f>
        <v>0</v>
      </c>
      <c r="F12" s="288">
        <f>תקציב!I44</f>
        <v>0</v>
      </c>
    </row>
    <row r="13" spans="3:10" s="2" customFormat="1" ht="21.95" customHeight="1" thickBot="1" x14ac:dyDescent="0.25">
      <c r="C13" s="200" t="str">
        <f>MID(תקציב!C46,6,LEN(תקציב!C46)-5)</f>
        <v>עלות ישירה</v>
      </c>
      <c r="D13" s="201"/>
      <c r="E13" s="289">
        <f>תקציב!H46</f>
        <v>0</v>
      </c>
      <c r="F13" s="290">
        <f>תקציב!I46</f>
        <v>0</v>
      </c>
    </row>
    <row r="14" spans="3:10" s="2" customFormat="1" ht="21.95" customHeight="1" thickTop="1" x14ac:dyDescent="0.2">
      <c r="C14" s="191" t="str">
        <f>תקציב!C48</f>
        <v>בלת"צ</v>
      </c>
      <c r="D14" s="202">
        <f>תקציב!F48</f>
        <v>0</v>
      </c>
      <c r="E14" s="287">
        <f>תקציב!H48</f>
        <v>0</v>
      </c>
      <c r="F14" s="288" t="str">
        <f>תקציב!I48</f>
        <v/>
      </c>
    </row>
    <row r="15" spans="3:10" s="2" customFormat="1" ht="21.95" customHeight="1" thickBot="1" x14ac:dyDescent="0.25">
      <c r="C15" s="200" t="str">
        <f>MID(תקציב!C49,6,LEN(תקציב!C49)-5)</f>
        <v>עלות כולל בלת"צ</v>
      </c>
      <c r="D15" s="201"/>
      <c r="E15" s="289">
        <f>תקציב!H49</f>
        <v>0</v>
      </c>
      <c r="F15" s="290">
        <f>תקציב!I49</f>
        <v>0</v>
      </c>
    </row>
    <row r="16" spans="3:10" s="2" customFormat="1" ht="21.95" customHeight="1" thickTop="1" x14ac:dyDescent="0.2">
      <c r="C16" s="191" t="s">
        <v>155</v>
      </c>
      <c r="D16" s="192"/>
      <c r="E16" s="287">
        <f>SUM(תקציב!H50:H53)</f>
        <v>0</v>
      </c>
      <c r="F16" s="288">
        <f>SUM(תקציב!I50:I53)</f>
        <v>0</v>
      </c>
    </row>
    <row r="17" spans="3:10" s="2" customFormat="1" ht="24.95" customHeight="1" thickBot="1" x14ac:dyDescent="0.25">
      <c r="C17" s="200" t="str">
        <f>MID(תקציב!C54,6,LEN(תקציב!C54)-5)</f>
        <v>עלות לפני רווח</v>
      </c>
      <c r="D17" s="201"/>
      <c r="E17" s="289">
        <f>תקציב!H54</f>
        <v>0</v>
      </c>
      <c r="F17" s="290">
        <f>תקציב!I54</f>
        <v>0</v>
      </c>
    </row>
    <row r="18" spans="3:10" s="2" customFormat="1" ht="24.95" customHeight="1" thickTop="1" x14ac:dyDescent="0.2">
      <c r="C18" s="191" t="s">
        <v>31</v>
      </c>
      <c r="D18" s="202">
        <f>תקציב!F56</f>
        <v>0</v>
      </c>
      <c r="E18" s="287">
        <f>תקציב!H56</f>
        <v>0</v>
      </c>
      <c r="F18" s="288" t="str">
        <f>תקציב!I56</f>
        <v/>
      </c>
    </row>
    <row r="19" spans="3:10" s="2" customFormat="1" ht="24.95" customHeight="1" thickBot="1" x14ac:dyDescent="0.25">
      <c r="C19" s="200" t="str">
        <f>MID(תקציב!C57,6,LEN(תקציב!C57)-5)</f>
        <v>עלות כולל רווח לפני מע"מ</v>
      </c>
      <c r="D19" s="201"/>
      <c r="E19" s="289">
        <f>תקציב!H57</f>
        <v>0</v>
      </c>
      <c r="F19" s="290">
        <f>תקציב!I57</f>
        <v>0</v>
      </c>
    </row>
    <row r="20" spans="3:10" s="2" customFormat="1" ht="24.95" customHeight="1" thickTop="1" x14ac:dyDescent="0.2">
      <c r="C20" s="191" t="str">
        <f>תקציב!C59</f>
        <v>מע"מ</v>
      </c>
      <c r="D20" s="202">
        <f>תקציב!F59</f>
        <v>0.17</v>
      </c>
      <c r="E20" s="287">
        <f>תקציב!H59</f>
        <v>0</v>
      </c>
      <c r="F20" s="288" t="str">
        <f>תקציב!I59</f>
        <v/>
      </c>
    </row>
    <row r="21" spans="3:10" s="2" customFormat="1" ht="24.95" customHeight="1" thickBot="1" x14ac:dyDescent="0.25">
      <c r="C21" s="162" t="str">
        <f>תקציב!C60</f>
        <v>סה"כ עלות הפקה כולל מע"מ</v>
      </c>
      <c r="D21" s="163"/>
      <c r="E21" s="291">
        <f>תקציב!H60</f>
        <v>0</v>
      </c>
      <c r="F21" s="292">
        <f>תקציב!I60</f>
        <v>0</v>
      </c>
      <c r="H21" s="6"/>
      <c r="I21" s="6"/>
      <c r="J21" s="6"/>
    </row>
    <row r="22" spans="3:10" s="2" customFormat="1" ht="24.95" customHeight="1" x14ac:dyDescent="0.2">
      <c r="C22" s="293"/>
      <c r="D22" s="294"/>
      <c r="E22" s="294"/>
      <c r="F22" s="295"/>
      <c r="H22" s="6"/>
      <c r="I22" s="6"/>
      <c r="J22" s="6"/>
    </row>
    <row r="23" spans="3:10" s="2" customFormat="1" ht="24.95" customHeight="1" thickBot="1" x14ac:dyDescent="0.25">
      <c r="C23" s="296" t="s">
        <v>430</v>
      </c>
      <c r="D23" s="297"/>
      <c r="E23" s="298" t="str">
        <f>תקציב!I13</f>
        <v>לא הוזן מספר פרקים</v>
      </c>
      <c r="F23" s="299"/>
      <c r="H23" s="6"/>
      <c r="I23" s="6"/>
      <c r="J23" s="6"/>
    </row>
  </sheetData>
  <sheetProtection algorithmName="SHA-512" hashValue="W7TOcnBGvMfqomcKToUzZO7gSik0waLkOlQyQWwQyBT2ct9MVrUYBgv+2R+yZWSNg119+VWkHDEYGaGvU7RJVA==" saltValue="17cNnL5rnTkXih560nQ+HQ==" spinCount="100000" sheet="1" objects="1" scenarios="1"/>
  <mergeCells count="4">
    <mergeCell ref="C2:F2"/>
    <mergeCell ref="C3:F3"/>
    <mergeCell ref="H6:J6"/>
    <mergeCell ref="I7:J7"/>
  </mergeCells>
  <conditionalFormatting sqref="C2:F2 J9:J10">
    <cfRule type="containsBlanks" dxfId="13" priority="5">
      <formula>LEN(TRIM(C2))=0</formula>
    </cfRule>
  </conditionalFormatting>
  <conditionalFormatting sqref="C3:F3">
    <cfRule type="containsBlanks" dxfId="12" priority="4">
      <formula>LEN(TRIM(C3))=0</formula>
    </cfRule>
  </conditionalFormatting>
  <conditionalFormatting sqref="I7:J7">
    <cfRule type="containsBlanks" dxfId="11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I33"/>
  <sheetViews>
    <sheetView rightToLeft="1" workbookViewId="0">
      <selection activeCell="A21" sqref="A21:XFD21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32" width="9" style="6"/>
    <col min="33" max="33" width="9.875" style="6" customWidth="1"/>
    <col min="34" max="16384" width="9" style="6"/>
  </cols>
  <sheetData>
    <row r="1" spans="1:35" ht="100.5" thickBot="1" x14ac:dyDescent="0.25">
      <c r="A1" s="1" t="s">
        <v>6</v>
      </c>
      <c r="B1" s="2"/>
      <c r="C1" s="1" t="s">
        <v>7</v>
      </c>
      <c r="D1" s="2"/>
      <c r="E1" s="3" t="s">
        <v>8</v>
      </c>
      <c r="F1" s="2"/>
      <c r="G1" s="4" t="s">
        <v>9</v>
      </c>
      <c r="H1" s="2"/>
      <c r="I1" s="4" t="s">
        <v>10</v>
      </c>
      <c r="J1" s="2"/>
      <c r="K1" s="4" t="s">
        <v>11</v>
      </c>
      <c r="L1" s="2"/>
      <c r="M1" s="5" t="s">
        <v>12</v>
      </c>
      <c r="N1" s="2"/>
      <c r="O1" s="5" t="s">
        <v>13</v>
      </c>
      <c r="P1" s="2"/>
      <c r="Q1" s="4" t="s">
        <v>14</v>
      </c>
      <c r="R1" s="2"/>
      <c r="S1" s="4" t="s">
        <v>15</v>
      </c>
      <c r="U1" s="4" t="s">
        <v>16</v>
      </c>
      <c r="W1" s="7" t="s">
        <v>17</v>
      </c>
      <c r="Y1" s="8" t="s">
        <v>18</v>
      </c>
      <c r="AA1" s="9" t="s">
        <v>19</v>
      </c>
      <c r="AC1" s="9" t="s">
        <v>20</v>
      </c>
      <c r="AE1" s="9" t="s">
        <v>21</v>
      </c>
      <c r="AG1" s="7" t="s">
        <v>219</v>
      </c>
      <c r="AI1" s="7" t="s">
        <v>230</v>
      </c>
    </row>
    <row r="2" spans="1:35" ht="15" thickBot="1" x14ac:dyDescent="0.25">
      <c r="A2" s="10" t="s">
        <v>26</v>
      </c>
      <c r="C2" s="10" t="s">
        <v>22</v>
      </c>
      <c r="E2" s="11" t="s">
        <v>23</v>
      </c>
      <c r="G2" s="12" t="s">
        <v>24</v>
      </c>
      <c r="I2" s="12" t="s">
        <v>25</v>
      </c>
      <c r="K2" s="13" t="s">
        <v>22</v>
      </c>
      <c r="M2" s="14" t="s">
        <v>22</v>
      </c>
      <c r="O2" s="7" t="s">
        <v>22</v>
      </c>
      <c r="Q2" s="10" t="s">
        <v>26</v>
      </c>
      <c r="S2" s="15" t="s">
        <v>26</v>
      </c>
      <c r="U2" s="8" t="s">
        <v>25</v>
      </c>
      <c r="W2" s="10" t="s">
        <v>26</v>
      </c>
      <c r="Y2" s="8" t="s">
        <v>26</v>
      </c>
      <c r="AA2" s="8" t="s">
        <v>22</v>
      </c>
      <c r="AC2" s="10" t="s">
        <v>26</v>
      </c>
      <c r="AE2" s="10" t="s">
        <v>26</v>
      </c>
      <c r="AG2" s="10" t="s">
        <v>26</v>
      </c>
      <c r="AI2" s="12" t="s">
        <v>220</v>
      </c>
    </row>
    <row r="3" spans="1:35" ht="15" thickBot="1" x14ac:dyDescent="0.25">
      <c r="A3" s="10" t="s">
        <v>22</v>
      </c>
      <c r="C3" s="10" t="s">
        <v>27</v>
      </c>
      <c r="K3" s="12" t="s">
        <v>24</v>
      </c>
      <c r="M3" s="12" t="s">
        <v>25</v>
      </c>
      <c r="Q3" s="12" t="s">
        <v>22</v>
      </c>
      <c r="U3" s="15" t="s">
        <v>24</v>
      </c>
      <c r="W3" s="13" t="s">
        <v>25</v>
      </c>
      <c r="Y3" s="15" t="s">
        <v>25</v>
      </c>
      <c r="AA3" s="10" t="s">
        <v>25</v>
      </c>
      <c r="AC3" s="15" t="s">
        <v>24</v>
      </c>
      <c r="AE3" s="10" t="s">
        <v>22</v>
      </c>
      <c r="AG3" s="10" t="s">
        <v>22</v>
      </c>
    </row>
    <row r="4" spans="1:35" ht="15" thickBot="1" x14ac:dyDescent="0.25">
      <c r="A4" s="10" t="s">
        <v>27</v>
      </c>
      <c r="C4" s="15" t="s">
        <v>25</v>
      </c>
      <c r="W4" s="12" t="s">
        <v>24</v>
      </c>
      <c r="AA4" s="15" t="s">
        <v>24</v>
      </c>
      <c r="AE4" s="10" t="s">
        <v>25</v>
      </c>
      <c r="AG4" s="15" t="s">
        <v>24</v>
      </c>
    </row>
    <row r="5" spans="1:35" ht="15" thickBot="1" x14ac:dyDescent="0.25">
      <c r="A5" s="10" t="s">
        <v>25</v>
      </c>
      <c r="AE5" s="15" t="s">
        <v>24</v>
      </c>
    </row>
    <row r="6" spans="1:35" ht="15" thickBot="1" x14ac:dyDescent="0.25">
      <c r="A6" s="12" t="s">
        <v>24</v>
      </c>
    </row>
    <row r="7" spans="1:35" x14ac:dyDescent="0.2">
      <c r="B7" s="16" t="s">
        <v>28</v>
      </c>
      <c r="C7" s="16" t="s">
        <v>29</v>
      </c>
    </row>
    <row r="8" spans="1:35" x14ac:dyDescent="0.2">
      <c r="A8" s="16" t="s">
        <v>30</v>
      </c>
      <c r="B8" s="17">
        <v>0</v>
      </c>
      <c r="C8" s="17">
        <v>0.1</v>
      </c>
    </row>
    <row r="9" spans="1:35" x14ac:dyDescent="0.2">
      <c r="A9" s="16" t="s">
        <v>31</v>
      </c>
      <c r="B9" s="17">
        <v>0</v>
      </c>
      <c r="C9" s="17">
        <v>0.1</v>
      </c>
    </row>
    <row r="11" spans="1:35" x14ac:dyDescent="0.2">
      <c r="A11" s="6" t="s">
        <v>32</v>
      </c>
      <c r="B11" s="18">
        <v>0.17</v>
      </c>
    </row>
    <row r="13" spans="1:35" x14ac:dyDescent="0.2">
      <c r="A13" s="6" t="s">
        <v>33</v>
      </c>
      <c r="B13" s="18">
        <v>0.05</v>
      </c>
    </row>
    <row r="15" spans="1:35" ht="42.75" x14ac:dyDescent="0.2">
      <c r="A15" s="19" t="s">
        <v>34</v>
      </c>
      <c r="B15" s="20">
        <v>0.8</v>
      </c>
    </row>
    <row r="17" spans="1:2" x14ac:dyDescent="0.2">
      <c r="A17" s="16" t="s">
        <v>35</v>
      </c>
      <c r="B17" s="16" t="s">
        <v>36</v>
      </c>
    </row>
    <row r="18" spans="1:2" x14ac:dyDescent="0.2">
      <c r="A18" s="16" t="s">
        <v>37</v>
      </c>
      <c r="B18" s="16" t="s">
        <v>38</v>
      </c>
    </row>
    <row r="19" spans="1:2" x14ac:dyDescent="0.2">
      <c r="A19" s="16" t="s">
        <v>39</v>
      </c>
      <c r="B19" s="21" t="s">
        <v>40</v>
      </c>
    </row>
    <row r="21" spans="1:2" x14ac:dyDescent="0.2">
      <c r="A21" s="16" t="s">
        <v>41</v>
      </c>
      <c r="B21" s="6" t="s">
        <v>42</v>
      </c>
    </row>
    <row r="22" spans="1:2" x14ac:dyDescent="0.2">
      <c r="A22" s="16" t="s">
        <v>43</v>
      </c>
      <c r="B22" s="16" t="s">
        <v>44</v>
      </c>
    </row>
    <row r="23" spans="1:2" x14ac:dyDescent="0.2">
      <c r="B23" s="16"/>
    </row>
    <row r="24" spans="1:2" x14ac:dyDescent="0.2">
      <c r="A24" s="16" t="s">
        <v>45</v>
      </c>
      <c r="B24" s="16" t="s">
        <v>46</v>
      </c>
    </row>
    <row r="25" spans="1:2" x14ac:dyDescent="0.2">
      <c r="A25" s="16" t="s">
        <v>47</v>
      </c>
      <c r="B25" s="16" t="s">
        <v>48</v>
      </c>
    </row>
    <row r="27" spans="1:2" x14ac:dyDescent="0.2">
      <c r="A27" s="16" t="s">
        <v>49</v>
      </c>
      <c r="B27" s="16" t="s">
        <v>50</v>
      </c>
    </row>
    <row r="28" spans="1:2" x14ac:dyDescent="0.2">
      <c r="A28" s="16" t="s">
        <v>51</v>
      </c>
      <c r="B28" s="16" t="s">
        <v>52</v>
      </c>
    </row>
    <row r="29" spans="1:2" x14ac:dyDescent="0.2">
      <c r="A29" s="16" t="s">
        <v>53</v>
      </c>
      <c r="B29" s="16" t="s">
        <v>54</v>
      </c>
    </row>
    <row r="30" spans="1:2" x14ac:dyDescent="0.2">
      <c r="A30" s="16" t="s">
        <v>55</v>
      </c>
      <c r="B30" s="16" t="s">
        <v>56</v>
      </c>
    </row>
    <row r="31" spans="1:2" x14ac:dyDescent="0.2">
      <c r="B31" s="16" t="s">
        <v>6</v>
      </c>
    </row>
    <row r="32" spans="1:2" x14ac:dyDescent="0.2">
      <c r="B32" s="16"/>
    </row>
    <row r="33" spans="2:2" x14ac:dyDescent="0.2">
      <c r="B33" s="16"/>
    </row>
  </sheetData>
  <sheetProtection algorithmName="SHA-512" hashValue="83MbhgE34W6Xke4Rhobmpg1aMse2rLP/CybmH0cPnX3V4lNZ1iDh8TkEe4Lq5oHZueqqugu02vvm7HCHmjX8uA==" saltValue="xS3VaTJpOYF/WU5gCIdBt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1:Z155"/>
  <sheetViews>
    <sheetView rightToLeft="1" workbookViewId="0">
      <pane ySplit="1" topLeftCell="A47" activePane="bottomLeft" state="frozen"/>
      <selection pane="bottomLeft" activeCell="D77" sqref="D77"/>
    </sheetView>
  </sheetViews>
  <sheetFormatPr defaultColWidth="9.125" defaultRowHeight="14.25" x14ac:dyDescent="0.2"/>
  <cols>
    <col min="1" max="1" width="9.125" style="48"/>
    <col min="2" max="2" width="4.125" style="48" customWidth="1"/>
    <col min="3" max="3" width="9.125" style="48" customWidth="1"/>
    <col min="4" max="5" width="15" style="114" customWidth="1"/>
    <col min="6" max="6" width="19.875" style="115" bestFit="1" customWidth="1"/>
    <col min="7" max="7" width="27.75" style="116" bestFit="1" customWidth="1"/>
    <col min="8" max="8" width="12.625" style="116" bestFit="1" customWidth="1"/>
    <col min="9" max="9" width="12.25" style="116" bestFit="1" customWidth="1"/>
    <col min="10" max="10" width="20.75" style="116" bestFit="1" customWidth="1"/>
    <col min="11" max="11" width="16" style="116" bestFit="1" customWidth="1"/>
    <col min="12" max="12" width="23.625" style="117" bestFit="1" customWidth="1"/>
    <col min="13" max="13" width="23.625" style="117" hidden="1" customWidth="1"/>
    <col min="14" max="14" width="30.25" style="48" bestFit="1" customWidth="1"/>
    <col min="15" max="15" width="9.125" style="48"/>
    <col min="16" max="16" width="10.875" style="48" bestFit="1" customWidth="1"/>
    <col min="17" max="17" width="10.75" style="48" bestFit="1" customWidth="1"/>
    <col min="18" max="18" width="13.625" style="48" bestFit="1" customWidth="1"/>
    <col min="19" max="19" width="26.625" style="48" bestFit="1" customWidth="1"/>
    <col min="20" max="20" width="20.625" style="48" bestFit="1" customWidth="1"/>
    <col min="21" max="21" width="10.125" style="48" bestFit="1" customWidth="1"/>
    <col min="22" max="16384" width="9.125" style="48"/>
  </cols>
  <sheetData>
    <row r="1" spans="3:21" ht="15.75" thickBot="1" x14ac:dyDescent="0.3">
      <c r="C1" s="44" t="s">
        <v>140</v>
      </c>
      <c r="D1" s="44" t="s">
        <v>141</v>
      </c>
      <c r="E1" s="45" t="s">
        <v>142</v>
      </c>
      <c r="F1" s="46" t="s">
        <v>143</v>
      </c>
      <c r="G1" s="45" t="s">
        <v>59</v>
      </c>
      <c r="H1" s="45" t="s">
        <v>4</v>
      </c>
      <c r="I1" s="45" t="s">
        <v>144</v>
      </c>
      <c r="J1" s="45" t="s">
        <v>145</v>
      </c>
      <c r="K1" s="45" t="s">
        <v>146</v>
      </c>
      <c r="L1" s="47" t="s">
        <v>64</v>
      </c>
      <c r="M1" s="269">
        <v>-5</v>
      </c>
      <c r="P1" s="49" t="s">
        <v>62</v>
      </c>
      <c r="Q1" s="50" t="s">
        <v>5</v>
      </c>
      <c r="R1" s="50" t="s">
        <v>61</v>
      </c>
      <c r="S1" s="50" t="s">
        <v>147</v>
      </c>
      <c r="T1" s="51" t="s">
        <v>148</v>
      </c>
    </row>
    <row r="2" spans="3:21" ht="15" x14ac:dyDescent="0.2">
      <c r="C2" s="48" t="str">
        <f t="shared" ref="C2:C67" si="0">H2</f>
        <v>תכניות/פרקים</v>
      </c>
      <c r="D2" s="52" t="str">
        <f>'מק"ט'!$C$8&amp;VLOOKUP(H2,'מק"ט'!$D$2:$E$9,2,FALSE)&amp;VLOOKUP(F2,'מק"ט'!$F$2:$G$11,2,FALSE)&amp;RIGHT(VLOOKUP(G2,'מק"ט'!H:I,2,FALSE),2)</f>
        <v>71110100</v>
      </c>
      <c r="E2" s="214" t="str">
        <f>RIGHT(VLOOKUP(G2,'מק"ט'!H:I,2,FALSE),2)</f>
        <v>00</v>
      </c>
      <c r="F2" s="80" t="s">
        <v>149</v>
      </c>
      <c r="G2" s="246" t="s">
        <v>172</v>
      </c>
      <c r="H2" s="54" t="s">
        <v>26</v>
      </c>
      <c r="I2" s="55"/>
      <c r="J2" s="55"/>
      <c r="K2" s="55"/>
      <c r="L2" s="56"/>
      <c r="M2" s="270">
        <f>IF(G2=G1,M1,M1+5)</f>
        <v>0</v>
      </c>
      <c r="P2" s="57">
        <f ca="1">IFERROR(VLOOKUP(D2,תקציב!$B$17:$G$54,6,0),0)</f>
        <v>0</v>
      </c>
      <c r="Q2" s="58">
        <f ca="1">IFERROR(VLOOKUP(D2,תקציב!$B$17:$G$54,5,0),0)</f>
        <v>0</v>
      </c>
      <c r="R2" s="58">
        <f ca="1">IF(ISNUMBER(VLOOKUP(D2,תקציב!$B$17:$G$54,3,FALSE)),VLOOKUP(D2,תקציב!$B$17:$G$54,3,FALSE),1)</f>
        <v>1</v>
      </c>
      <c r="S2" s="58">
        <f t="shared" ref="S2" ca="1" si="1">IFERROR((Q2*R2),0)</f>
        <v>0</v>
      </c>
      <c r="T2" s="59">
        <f t="shared" ref="T2" ca="1" si="2">P2*S2</f>
        <v>0</v>
      </c>
      <c r="U2" s="208">
        <f ca="1">IFERROR(VLOOKUP(D2,תקציב!$B$17:$H$54,7,FALSE),0)-T2</f>
        <v>0</v>
      </c>
    </row>
    <row r="3" spans="3:21" ht="15" x14ac:dyDescent="0.2">
      <c r="C3" s="48" t="str">
        <f t="shared" si="0"/>
        <v>ימים</v>
      </c>
      <c r="D3" s="60" t="str">
        <f>'מק"ט'!$C$8&amp;VLOOKUP(H3,'מק"ט'!$D$2:$E$9,2,FALSE)&amp;VLOOKUP(F3,'מק"ט'!$F$2:$G$11,2,FALSE)&amp;RIGHT(VLOOKUP(G3,'מק"ט'!H:I,2,FALSE),2)</f>
        <v>71120100</v>
      </c>
      <c r="E3" s="70" t="str">
        <f>RIGHT(VLOOKUP(G3,'מק"ט'!H:I,2,FALSE),2)</f>
        <v>00</v>
      </c>
      <c r="F3" s="83" t="s">
        <v>149</v>
      </c>
      <c r="G3" s="247" t="s">
        <v>172</v>
      </c>
      <c r="H3" s="62" t="s">
        <v>22</v>
      </c>
      <c r="I3" s="63"/>
      <c r="J3" s="63"/>
      <c r="K3" s="63"/>
      <c r="L3" s="64"/>
      <c r="M3" s="270">
        <f t="shared" ref="M3:M66" si="3">IF(G3=G2,M2,M2+5)</f>
        <v>0</v>
      </c>
      <c r="P3" s="57">
        <f ca="1">IFERROR(VLOOKUP(D3,תקציב!$B$17:$G$54,6,0),0)</f>
        <v>0</v>
      </c>
      <c r="Q3" s="58">
        <f ca="1">IFERROR(VLOOKUP(D3,תקציב!$B$17:$G$54,5,0),0)</f>
        <v>0</v>
      </c>
      <c r="R3" s="58">
        <f ca="1">IF(ISNUMBER(VLOOKUP(D3,תקציב!$B$17:$G$54,3,FALSE)),VLOOKUP(D3,תקציב!$B$17:$G$54,3,FALSE),1)</f>
        <v>1</v>
      </c>
      <c r="S3" s="58">
        <f t="shared" ref="S3:S66" ca="1" si="4">IFERROR((Q3*R3),0)</f>
        <v>0</v>
      </c>
      <c r="T3" s="59">
        <f t="shared" ref="T3:T66" ca="1" si="5">P3*S3</f>
        <v>0</v>
      </c>
      <c r="U3" s="208">
        <f ca="1">IFERROR(VLOOKUP(D3,תקציב!$B$17:$H$54,7,FALSE),0)-T3</f>
        <v>0</v>
      </c>
    </row>
    <row r="4" spans="3:21" ht="15" x14ac:dyDescent="0.2">
      <c r="C4" s="48" t="str">
        <f t="shared" si="0"/>
        <v>שבועות</v>
      </c>
      <c r="D4" s="60" t="str">
        <f>'מק"ט'!$C$8&amp;VLOOKUP(H4,'מק"ט'!$D$2:$E$9,2,FALSE)&amp;VLOOKUP(F4,'מק"ט'!$F$2:$G$11,2,FALSE)&amp;RIGHT(VLOOKUP(G4,'מק"ט'!H:I,2,FALSE),2)</f>
        <v>71130100</v>
      </c>
      <c r="E4" s="70" t="str">
        <f>RIGHT(VLOOKUP(G4,'מק"ט'!H:I,2,FALSE),2)</f>
        <v>00</v>
      </c>
      <c r="F4" s="83" t="s">
        <v>149</v>
      </c>
      <c r="G4" s="247" t="s">
        <v>172</v>
      </c>
      <c r="H4" s="62" t="s">
        <v>27</v>
      </c>
      <c r="I4" s="63"/>
      <c r="J4" s="63"/>
      <c r="K4" s="63"/>
      <c r="L4" s="64"/>
      <c r="M4" s="270">
        <f t="shared" si="3"/>
        <v>0</v>
      </c>
      <c r="P4" s="57">
        <f ca="1">IFERROR(VLOOKUP(D4,תקציב!$B$17:$G$54,6,0),0)</f>
        <v>0</v>
      </c>
      <c r="Q4" s="58">
        <f ca="1">IFERROR(VLOOKUP(D4,תקציב!$B$17:$G$54,5,0),0)</f>
        <v>0</v>
      </c>
      <c r="R4" s="58">
        <f ca="1">IF(ISNUMBER(VLOOKUP(D4,תקציב!$B$17:$G$54,3,FALSE)),VLOOKUP(D4,תקציב!$B$17:$G$54,3,FALSE),1)</f>
        <v>1</v>
      </c>
      <c r="S4" s="58">
        <f t="shared" ca="1" si="4"/>
        <v>0</v>
      </c>
      <c r="T4" s="59">
        <f t="shared" ca="1" si="5"/>
        <v>0</v>
      </c>
      <c r="U4" s="208">
        <f ca="1">IFERROR(VLOOKUP(D4,תקציב!$B$17:$H$54,7,FALSE),0)-T4</f>
        <v>0</v>
      </c>
    </row>
    <row r="5" spans="3:21" ht="15" x14ac:dyDescent="0.2">
      <c r="C5" s="48" t="str">
        <f t="shared" si="0"/>
        <v>חודשים</v>
      </c>
      <c r="D5" s="60" t="str">
        <f>'מק"ט'!$C$8&amp;VLOOKUP(H5,'מק"ט'!$D$2:$E$9,2,FALSE)&amp;VLOOKUP(F5,'מק"ט'!$F$2:$G$11,2,FALSE)&amp;RIGHT(VLOOKUP(G5,'מק"ט'!H:I,2,FALSE),2)</f>
        <v>71140100</v>
      </c>
      <c r="E5" s="70" t="str">
        <f>RIGHT(VLOOKUP(G5,'מק"ט'!H:I,2,FALSE),2)</f>
        <v>00</v>
      </c>
      <c r="F5" s="83" t="s">
        <v>149</v>
      </c>
      <c r="G5" s="247" t="s">
        <v>172</v>
      </c>
      <c r="H5" s="62" t="s">
        <v>25</v>
      </c>
      <c r="I5" s="63"/>
      <c r="J5" s="63"/>
      <c r="K5" s="63"/>
      <c r="L5" s="64"/>
      <c r="M5" s="270">
        <f t="shared" si="3"/>
        <v>0</v>
      </c>
      <c r="P5" s="57">
        <f ca="1">IFERROR(VLOOKUP(D5,תקציב!$B$17:$G$54,6,0),0)</f>
        <v>0</v>
      </c>
      <c r="Q5" s="58">
        <f ca="1">IFERROR(VLOOKUP(D5,תקציב!$B$17:$G$54,5,0),0)</f>
        <v>0</v>
      </c>
      <c r="R5" s="58">
        <f ca="1">IF(ISNUMBER(VLOOKUP(D5,תקציב!$B$17:$G$54,3,FALSE)),VLOOKUP(D5,תקציב!$B$17:$G$54,3,FALSE),1)</f>
        <v>1</v>
      </c>
      <c r="S5" s="58">
        <f t="shared" ca="1" si="4"/>
        <v>0</v>
      </c>
      <c r="T5" s="59">
        <f t="shared" ca="1" si="5"/>
        <v>0</v>
      </c>
      <c r="U5" s="208">
        <f ca="1">IFERROR(VLOOKUP(D5,תקציב!$B$17:$H$54,7,FALSE),0)-T5</f>
        <v>0</v>
      </c>
    </row>
    <row r="6" spans="3:21" ht="15" x14ac:dyDescent="0.2">
      <c r="C6" s="48" t="str">
        <f t="shared" si="0"/>
        <v>עונתי גלובלי</v>
      </c>
      <c r="D6" s="60" t="str">
        <f>'מק"ט'!$C$8&amp;VLOOKUP(H6,'מק"ט'!$D$2:$E$9,2,FALSE)&amp;VLOOKUP(F6,'מק"ט'!$F$2:$G$11,2,FALSE)&amp;RIGHT(VLOOKUP(G6,'מק"ט'!H:I,2,FALSE),2)</f>
        <v>71150100</v>
      </c>
      <c r="E6" s="70" t="str">
        <f>RIGHT(VLOOKUP(G6,'מק"ט'!H:I,2,FALSE),2)</f>
        <v>00</v>
      </c>
      <c r="F6" s="83" t="s">
        <v>149</v>
      </c>
      <c r="G6" s="247" t="s">
        <v>172</v>
      </c>
      <c r="H6" s="62" t="s">
        <v>24</v>
      </c>
      <c r="I6" s="63"/>
      <c r="J6" s="63"/>
      <c r="K6" s="63"/>
      <c r="L6" s="64"/>
      <c r="M6" s="270">
        <f t="shared" si="3"/>
        <v>0</v>
      </c>
      <c r="P6" s="57">
        <f ca="1">IFERROR(VLOOKUP(D6,תקציב!$B$17:$G$54,6,0),0)</f>
        <v>0</v>
      </c>
      <c r="Q6" s="58">
        <f ca="1">IFERROR(VLOOKUP(D6,תקציב!$B$17:$G$54,5,0),0)</f>
        <v>0</v>
      </c>
      <c r="R6" s="58">
        <f ca="1">IF(ISNUMBER(VLOOKUP(D6,תקציב!$B$17:$G$54,3,FALSE)),VLOOKUP(D6,תקציב!$B$17:$G$54,3,FALSE),1)</f>
        <v>1</v>
      </c>
      <c r="S6" s="58">
        <f t="shared" ca="1" si="4"/>
        <v>0</v>
      </c>
      <c r="T6" s="59">
        <f t="shared" ca="1" si="5"/>
        <v>0</v>
      </c>
      <c r="U6" s="208">
        <f ca="1">IFERROR(VLOOKUP(D6,תקציב!$B$17:$H$54,7,FALSE),0)-T6</f>
        <v>0</v>
      </c>
    </row>
    <row r="7" spans="3:21" ht="15" x14ac:dyDescent="0.2">
      <c r="C7" s="48" t="str">
        <f t="shared" si="0"/>
        <v>תכניות/פרקים</v>
      </c>
      <c r="D7" s="209" t="str">
        <f>'מק"ט'!$C$8&amp;VLOOKUP(H7,'מק"ט'!$D$2:$E$9,2,FALSE)&amp;VLOOKUP(F7,'מק"ט'!$F$2:$G$11,2,FALSE)&amp;RIGHT(VLOOKUP(G7,'מק"ט'!H:I,2,FALSE),2)</f>
        <v>71110101</v>
      </c>
      <c r="E7" s="72" t="str">
        <f>RIGHT(VLOOKUP(G7,'מק"ט'!H:I,2,FALSE),2)</f>
        <v>01</v>
      </c>
      <c r="F7" s="86" t="s">
        <v>149</v>
      </c>
      <c r="G7" s="67" t="s">
        <v>17</v>
      </c>
      <c r="H7" s="67" t="s">
        <v>26</v>
      </c>
      <c r="I7" s="68"/>
      <c r="J7" s="68"/>
      <c r="K7" s="68"/>
      <c r="L7" s="69"/>
      <c r="M7" s="270">
        <f t="shared" si="3"/>
        <v>5</v>
      </c>
      <c r="P7" s="57">
        <f ca="1">IFERROR(VLOOKUP(D7,תקציב!$B$17:$G$54,6,0),0)</f>
        <v>0</v>
      </c>
      <c r="Q7" s="58">
        <f ca="1">IFERROR(VLOOKUP(D7,תקציב!$B$17:$G$54,5,0),0)</f>
        <v>0</v>
      </c>
      <c r="R7" s="58">
        <f ca="1">IF(ISNUMBER(VLOOKUP(D7,תקציב!$B$17:$G$54,3,FALSE)),VLOOKUP(D7,תקציב!$B$17:$G$54,3,FALSE),1)</f>
        <v>1</v>
      </c>
      <c r="S7" s="58">
        <f t="shared" ca="1" si="4"/>
        <v>0</v>
      </c>
      <c r="T7" s="59">
        <f t="shared" ca="1" si="5"/>
        <v>0</v>
      </c>
      <c r="U7" s="208">
        <f ca="1">IFERROR(VLOOKUP(D7,תקציב!$B$17:$H$54,7,FALSE),0)-T7</f>
        <v>0</v>
      </c>
    </row>
    <row r="8" spans="3:21" ht="15" x14ac:dyDescent="0.2">
      <c r="C8" s="48" t="str">
        <f t="shared" si="0"/>
        <v>ימים</v>
      </c>
      <c r="D8" s="209" t="str">
        <f>'מק"ט'!$C$8&amp;VLOOKUP(H8,'מק"ט'!$D$2:$E$9,2,FALSE)&amp;VLOOKUP(F8,'מק"ט'!$F$2:$G$11,2,FALSE)&amp;RIGHT(VLOOKUP(G8,'מק"ט'!H:I,2,FALSE),2)</f>
        <v>71120101</v>
      </c>
      <c r="E8" s="72" t="str">
        <f>RIGHT(VLOOKUP(G8,'מק"ט'!H:I,2,FALSE),2)</f>
        <v>01</v>
      </c>
      <c r="F8" s="86" t="s">
        <v>149</v>
      </c>
      <c r="G8" s="67" t="s">
        <v>17</v>
      </c>
      <c r="H8" s="67" t="s">
        <v>22</v>
      </c>
      <c r="I8" s="68"/>
      <c r="J8" s="68"/>
      <c r="K8" s="68"/>
      <c r="L8" s="69"/>
      <c r="M8" s="270">
        <f t="shared" si="3"/>
        <v>5</v>
      </c>
      <c r="P8" s="57">
        <f ca="1">IFERROR(VLOOKUP(D8,תקציב!$B$17:$G$54,6,0),0)</f>
        <v>0</v>
      </c>
      <c r="Q8" s="58">
        <f ca="1">IFERROR(VLOOKUP(D8,תקציב!$B$17:$G$54,5,0),0)</f>
        <v>0</v>
      </c>
      <c r="R8" s="58">
        <f ca="1">IF(ISNUMBER(VLOOKUP(D8,תקציב!$B$17:$G$54,3,FALSE)),VLOOKUP(D8,תקציב!$B$17:$G$54,3,FALSE),1)</f>
        <v>1</v>
      </c>
      <c r="S8" s="58">
        <f t="shared" ca="1" si="4"/>
        <v>0</v>
      </c>
      <c r="T8" s="59">
        <f t="shared" ca="1" si="5"/>
        <v>0</v>
      </c>
      <c r="U8" s="208">
        <f ca="1">IFERROR(VLOOKUP(D8,תקציב!$B$17:$H$54,7,FALSE),0)-T8</f>
        <v>0</v>
      </c>
    </row>
    <row r="9" spans="3:21" ht="15" x14ac:dyDescent="0.2">
      <c r="C9" s="48" t="str">
        <f t="shared" si="0"/>
        <v>שבועות</v>
      </c>
      <c r="D9" s="209" t="str">
        <f>'מק"ט'!$C$8&amp;VLOOKUP(H9,'מק"ט'!$D$2:$E$9,2,FALSE)&amp;VLOOKUP(F9,'מק"ט'!$F$2:$G$11,2,FALSE)&amp;RIGHT(VLOOKUP(G9,'מק"ט'!H:I,2,FALSE),2)</f>
        <v>71130101</v>
      </c>
      <c r="E9" s="72" t="str">
        <f>RIGHT(VLOOKUP(G9,'מק"ט'!H:I,2,FALSE),2)</f>
        <v>01</v>
      </c>
      <c r="F9" s="86" t="s">
        <v>149</v>
      </c>
      <c r="G9" s="67" t="s">
        <v>17</v>
      </c>
      <c r="H9" s="67" t="s">
        <v>27</v>
      </c>
      <c r="I9" s="68"/>
      <c r="J9" s="68"/>
      <c r="K9" s="68"/>
      <c r="L9" s="69"/>
      <c r="M9" s="270">
        <f t="shared" si="3"/>
        <v>5</v>
      </c>
      <c r="P9" s="57">
        <f ca="1">IFERROR(VLOOKUP(D9,תקציב!$B$17:$G$54,6,0),0)</f>
        <v>0</v>
      </c>
      <c r="Q9" s="58">
        <f ca="1">IFERROR(VLOOKUP(D9,תקציב!$B$17:$G$54,5,0),0)</f>
        <v>0</v>
      </c>
      <c r="R9" s="58">
        <f ca="1">IF(ISNUMBER(VLOOKUP(D9,תקציב!$B$17:$G$54,3,FALSE)),VLOOKUP(D9,תקציב!$B$17:$G$54,3,FALSE),1)</f>
        <v>1</v>
      </c>
      <c r="S9" s="58">
        <f t="shared" ca="1" si="4"/>
        <v>0</v>
      </c>
      <c r="T9" s="59">
        <f t="shared" ca="1" si="5"/>
        <v>0</v>
      </c>
      <c r="U9" s="208">
        <f ca="1">IFERROR(VLOOKUP(D9,תקציב!$B$17:$H$54,7,FALSE),0)-T9</f>
        <v>0</v>
      </c>
    </row>
    <row r="10" spans="3:21" ht="15" x14ac:dyDescent="0.2">
      <c r="C10" s="48" t="str">
        <f t="shared" si="0"/>
        <v>חודשים</v>
      </c>
      <c r="D10" s="209" t="str">
        <f>'מק"ט'!$C$8&amp;VLOOKUP(H10,'מק"ט'!$D$2:$E$9,2,FALSE)&amp;VLOOKUP(F10,'מק"ט'!$F$2:$G$11,2,FALSE)&amp;RIGHT(VLOOKUP(G10,'מק"ט'!H:I,2,FALSE),2)</f>
        <v>71140101</v>
      </c>
      <c r="E10" s="72" t="str">
        <f>RIGHT(VLOOKUP(G10,'מק"ט'!H:I,2,FALSE),2)</f>
        <v>01</v>
      </c>
      <c r="F10" s="86" t="s">
        <v>149</v>
      </c>
      <c r="G10" s="67" t="s">
        <v>17</v>
      </c>
      <c r="H10" s="67" t="s">
        <v>25</v>
      </c>
      <c r="I10" s="68"/>
      <c r="J10" s="68"/>
      <c r="K10" s="68"/>
      <c r="L10" s="69"/>
      <c r="M10" s="270">
        <f t="shared" si="3"/>
        <v>5</v>
      </c>
      <c r="P10" s="57">
        <f ca="1">IFERROR(VLOOKUP(D10,תקציב!$B$17:$G$54,6,0),0)</f>
        <v>0</v>
      </c>
      <c r="Q10" s="58">
        <f ca="1">IFERROR(VLOOKUP(D10,תקציב!$B$17:$G$54,5,0),0)</f>
        <v>0</v>
      </c>
      <c r="R10" s="58">
        <f ca="1">IF(ISNUMBER(VLOOKUP(D10,תקציב!$B$17:$G$54,3,FALSE)),VLOOKUP(D10,תקציב!$B$17:$G$54,3,FALSE),1)</f>
        <v>1</v>
      </c>
      <c r="S10" s="58">
        <f t="shared" ca="1" si="4"/>
        <v>0</v>
      </c>
      <c r="T10" s="59">
        <f t="shared" ca="1" si="5"/>
        <v>0</v>
      </c>
      <c r="U10" s="208">
        <f ca="1">IFERROR(VLOOKUP(D10,תקציב!$B$17:$H$54,7,FALSE),0)-T10</f>
        <v>0</v>
      </c>
    </row>
    <row r="11" spans="3:21" ht="15" x14ac:dyDescent="0.2">
      <c r="C11" s="48" t="str">
        <f t="shared" si="0"/>
        <v>עונתי גלובלי</v>
      </c>
      <c r="D11" s="209" t="str">
        <f>'מק"ט'!$C$8&amp;VLOOKUP(H11,'מק"ט'!$D$2:$E$9,2,FALSE)&amp;VLOOKUP(F11,'מק"ט'!$F$2:$G$11,2,FALSE)&amp;RIGHT(VLOOKUP(G11,'מק"ט'!H:I,2,FALSE),2)</f>
        <v>71150101</v>
      </c>
      <c r="E11" s="72" t="str">
        <f>RIGHT(VLOOKUP(G11,'מק"ט'!H:I,2,FALSE),2)</f>
        <v>01</v>
      </c>
      <c r="F11" s="86" t="s">
        <v>149</v>
      </c>
      <c r="G11" s="67" t="s">
        <v>17</v>
      </c>
      <c r="H11" s="67" t="s">
        <v>24</v>
      </c>
      <c r="I11" s="68"/>
      <c r="J11" s="68"/>
      <c r="K11" s="68"/>
      <c r="L11" s="69"/>
      <c r="M11" s="270">
        <f t="shared" si="3"/>
        <v>5</v>
      </c>
      <c r="P11" s="57">
        <f ca="1">IFERROR(VLOOKUP(D11,תקציב!$B$17:$G$54,6,0),0)</f>
        <v>0</v>
      </c>
      <c r="Q11" s="58">
        <f ca="1">IFERROR(VLOOKUP(D11,תקציב!$B$17:$G$54,5,0),0)</f>
        <v>0</v>
      </c>
      <c r="R11" s="58">
        <f ca="1">IF(ISNUMBER(VLOOKUP(D11,תקציב!$B$17:$G$54,3,FALSE)),VLOOKUP(D11,תקציב!$B$17:$G$54,3,FALSE),1)</f>
        <v>1</v>
      </c>
      <c r="S11" s="58">
        <f t="shared" ca="1" si="4"/>
        <v>0</v>
      </c>
      <c r="T11" s="59">
        <f t="shared" ca="1" si="5"/>
        <v>0</v>
      </c>
      <c r="U11" s="208">
        <f ca="1">IFERROR(VLOOKUP(D11,תקציב!$B$17:$H$54,7,FALSE),0)-T11</f>
        <v>0</v>
      </c>
    </row>
    <row r="12" spans="3:21" ht="15" customHeight="1" x14ac:dyDescent="0.2">
      <c r="C12" s="48" t="str">
        <f t="shared" si="0"/>
        <v>תכניות/פרקים</v>
      </c>
      <c r="D12" s="60" t="str">
        <f>'מק"ט'!$C$8&amp;VLOOKUP(H12,'מק"ט'!$D$2:$E$9,2,FALSE)&amp;VLOOKUP(F12,'מק"ט'!$F$2:$G$11,2,FALSE)&amp;RIGHT(VLOOKUP(G12,'מק"ט'!H:I,2,FALSE),2)</f>
        <v>71110104</v>
      </c>
      <c r="E12" s="70" t="str">
        <f>RIGHT(VLOOKUP(G12,'מק"ט'!H:I,2,FALSE),2)</f>
        <v>04</v>
      </c>
      <c r="F12" s="83" t="s">
        <v>149</v>
      </c>
      <c r="G12" s="268" t="s">
        <v>178</v>
      </c>
      <c r="H12" s="62" t="s">
        <v>26</v>
      </c>
      <c r="I12" s="63"/>
      <c r="J12" s="63"/>
      <c r="K12" s="63"/>
      <c r="L12" s="64"/>
      <c r="M12" s="270">
        <f t="shared" si="3"/>
        <v>10</v>
      </c>
      <c r="N12" s="73"/>
      <c r="P12" s="57">
        <f ca="1">IFERROR(VLOOKUP(D12,תקציב!$B$17:$G$54,6,0),0)</f>
        <v>0</v>
      </c>
      <c r="Q12" s="58">
        <f ca="1">IFERROR(VLOOKUP(D12,תקציב!$B$17:$G$54,5,0),0)</f>
        <v>0</v>
      </c>
      <c r="R12" s="58">
        <f ca="1">IF(ISNUMBER(VLOOKUP(D12,תקציב!$B$17:$G$54,3,FALSE)),VLOOKUP(D12,תקציב!$B$17:$G$54,3,FALSE),1)</f>
        <v>1</v>
      </c>
      <c r="S12" s="58">
        <f t="shared" ca="1" si="4"/>
        <v>0</v>
      </c>
      <c r="T12" s="59">
        <f t="shared" ca="1" si="5"/>
        <v>0</v>
      </c>
      <c r="U12" s="208">
        <f ca="1">IFERROR(VLOOKUP(D12,תקציב!$B$17:$H$54,7,FALSE),0)-T12</f>
        <v>0</v>
      </c>
    </row>
    <row r="13" spans="3:21" ht="15" customHeight="1" x14ac:dyDescent="0.2">
      <c r="C13" s="48" t="str">
        <f t="shared" si="0"/>
        <v>ימים</v>
      </c>
      <c r="D13" s="60" t="str">
        <f>'מק"ט'!$C$8&amp;VLOOKUP(H13,'מק"ט'!$D$2:$E$9,2,FALSE)&amp;VLOOKUP(F13,'מק"ט'!$F$2:$G$11,2,FALSE)&amp;RIGHT(VLOOKUP(G13,'מק"ט'!H:I,2,FALSE),2)</f>
        <v>71120104</v>
      </c>
      <c r="E13" s="70" t="str">
        <f>RIGHT(VLOOKUP(G13,'מק"ט'!H:I,2,FALSE),2)</f>
        <v>04</v>
      </c>
      <c r="F13" s="83" t="s">
        <v>149</v>
      </c>
      <c r="G13" s="268" t="s">
        <v>178</v>
      </c>
      <c r="H13" s="62" t="s">
        <v>22</v>
      </c>
      <c r="I13" s="63"/>
      <c r="J13" s="63"/>
      <c r="K13" s="63"/>
      <c r="L13" s="64"/>
      <c r="M13" s="270">
        <f t="shared" si="3"/>
        <v>10</v>
      </c>
      <c r="N13" s="73"/>
      <c r="P13" s="57">
        <f ca="1">IFERROR(VLOOKUP(D13,תקציב!$B$17:$G$54,6,0),0)</f>
        <v>0</v>
      </c>
      <c r="Q13" s="58">
        <f ca="1">IFERROR(VLOOKUP(D13,תקציב!$B$17:$G$54,5,0),0)</f>
        <v>0</v>
      </c>
      <c r="R13" s="58">
        <f ca="1">IF(ISNUMBER(VLOOKUP(D13,תקציב!$B$17:$G$54,3,FALSE)),VLOOKUP(D13,תקציב!$B$17:$G$54,3,FALSE),1)</f>
        <v>1</v>
      </c>
      <c r="S13" s="58">
        <f t="shared" ca="1" si="4"/>
        <v>0</v>
      </c>
      <c r="T13" s="59">
        <f t="shared" ca="1" si="5"/>
        <v>0</v>
      </c>
      <c r="U13" s="208">
        <f ca="1">IFERROR(VLOOKUP(D13,תקציב!$B$17:$H$54,7,FALSE),0)-T13</f>
        <v>0</v>
      </c>
    </row>
    <row r="14" spans="3:21" ht="15" customHeight="1" x14ac:dyDescent="0.2">
      <c r="C14" s="48" t="str">
        <f t="shared" si="0"/>
        <v>שבועות</v>
      </c>
      <c r="D14" s="60" t="str">
        <f>'מק"ט'!$C$8&amp;VLOOKUP(H14,'מק"ט'!$D$2:$E$9,2,FALSE)&amp;VLOOKUP(F14,'מק"ט'!$F$2:$G$11,2,FALSE)&amp;RIGHT(VLOOKUP(G14,'מק"ט'!H:I,2,FALSE),2)</f>
        <v>71130104</v>
      </c>
      <c r="E14" s="70" t="str">
        <f>RIGHT(VLOOKUP(G14,'מק"ט'!H:I,2,FALSE),2)</f>
        <v>04</v>
      </c>
      <c r="F14" s="83" t="s">
        <v>149</v>
      </c>
      <c r="G14" s="268" t="s">
        <v>178</v>
      </c>
      <c r="H14" s="62" t="s">
        <v>27</v>
      </c>
      <c r="I14" s="63"/>
      <c r="J14" s="63"/>
      <c r="K14" s="63"/>
      <c r="L14" s="64"/>
      <c r="M14" s="270">
        <f t="shared" si="3"/>
        <v>10</v>
      </c>
      <c r="N14" s="73"/>
      <c r="P14" s="57">
        <f ca="1">IFERROR(VLOOKUP(D14,תקציב!$B$17:$G$54,6,0),0)</f>
        <v>0</v>
      </c>
      <c r="Q14" s="58">
        <f ca="1">IFERROR(VLOOKUP(D14,תקציב!$B$17:$G$54,5,0),0)</f>
        <v>0</v>
      </c>
      <c r="R14" s="58">
        <f ca="1">IF(ISNUMBER(VLOOKUP(D14,תקציב!$B$17:$G$54,3,FALSE)),VLOOKUP(D14,תקציב!$B$17:$G$54,3,FALSE),1)</f>
        <v>1</v>
      </c>
      <c r="S14" s="58">
        <f t="shared" ca="1" si="4"/>
        <v>0</v>
      </c>
      <c r="T14" s="59">
        <f t="shared" ca="1" si="5"/>
        <v>0</v>
      </c>
      <c r="U14" s="208">
        <f ca="1">IFERROR(VLOOKUP(D14,תקציב!$B$17:$H$54,7,FALSE),0)-T14</f>
        <v>0</v>
      </c>
    </row>
    <row r="15" spans="3:21" ht="15" customHeight="1" x14ac:dyDescent="0.2">
      <c r="C15" s="48" t="str">
        <f t="shared" si="0"/>
        <v>חודשים</v>
      </c>
      <c r="D15" s="60" t="str">
        <f>'מק"ט'!$C$8&amp;VLOOKUP(H15,'מק"ט'!$D$2:$E$9,2,FALSE)&amp;VLOOKUP(F15,'מק"ט'!$F$2:$G$11,2,FALSE)&amp;RIGHT(VLOOKUP(G15,'מק"ט'!H:I,2,FALSE),2)</f>
        <v>71140104</v>
      </c>
      <c r="E15" s="70" t="str">
        <f>RIGHT(VLOOKUP(G15,'מק"ט'!H:I,2,FALSE),2)</f>
        <v>04</v>
      </c>
      <c r="F15" s="83" t="s">
        <v>149</v>
      </c>
      <c r="G15" s="268" t="s">
        <v>178</v>
      </c>
      <c r="H15" s="62" t="s">
        <v>25</v>
      </c>
      <c r="I15" s="63"/>
      <c r="J15" s="63"/>
      <c r="K15" s="63"/>
      <c r="L15" s="64"/>
      <c r="M15" s="270">
        <f t="shared" si="3"/>
        <v>10</v>
      </c>
      <c r="N15" s="73"/>
      <c r="P15" s="57">
        <f ca="1">IFERROR(VLOOKUP(D15,תקציב!$B$17:$G$54,6,0),0)</f>
        <v>0</v>
      </c>
      <c r="Q15" s="58">
        <f ca="1">IFERROR(VLOOKUP(D15,תקציב!$B$17:$G$54,5,0),0)</f>
        <v>0</v>
      </c>
      <c r="R15" s="58">
        <f ca="1">IF(ISNUMBER(VLOOKUP(D15,תקציב!$B$17:$G$54,3,FALSE)),VLOOKUP(D15,תקציב!$B$17:$G$54,3,FALSE),1)</f>
        <v>1</v>
      </c>
      <c r="S15" s="58">
        <f t="shared" ca="1" si="4"/>
        <v>0</v>
      </c>
      <c r="T15" s="59">
        <f t="shared" ca="1" si="5"/>
        <v>0</v>
      </c>
      <c r="U15" s="208">
        <f ca="1">IFERROR(VLOOKUP(D15,תקציב!$B$17:$H$54,7,FALSE),0)-T15</f>
        <v>0</v>
      </c>
    </row>
    <row r="16" spans="3:21" ht="15" customHeight="1" x14ac:dyDescent="0.2">
      <c r="C16" s="48" t="str">
        <f t="shared" si="0"/>
        <v>עונתי גלובלי</v>
      </c>
      <c r="D16" s="60" t="str">
        <f>'מק"ט'!$C$8&amp;VLOOKUP(H16,'מק"ט'!$D$2:$E$9,2,FALSE)&amp;VLOOKUP(F16,'מק"ט'!$F$2:$G$11,2,FALSE)&amp;RIGHT(VLOOKUP(G16,'מק"ט'!H:I,2,FALSE),2)</f>
        <v>71150104</v>
      </c>
      <c r="E16" s="70" t="str">
        <f>RIGHT(VLOOKUP(G16,'מק"ט'!H:I,2,FALSE),2)</f>
        <v>04</v>
      </c>
      <c r="F16" s="83" t="s">
        <v>149</v>
      </c>
      <c r="G16" s="268" t="s">
        <v>178</v>
      </c>
      <c r="H16" s="62" t="s">
        <v>24</v>
      </c>
      <c r="I16" s="63"/>
      <c r="J16" s="63"/>
      <c r="K16" s="63"/>
      <c r="L16" s="64"/>
      <c r="M16" s="270">
        <f t="shared" si="3"/>
        <v>10</v>
      </c>
      <c r="N16" s="73"/>
      <c r="P16" s="57">
        <f ca="1">IFERROR(VLOOKUP(D16,תקציב!$B$17:$G$54,6,0),0)</f>
        <v>0</v>
      </c>
      <c r="Q16" s="58">
        <f ca="1">IFERROR(VLOOKUP(D16,תקציב!$B$17:$G$54,5,0),0)</f>
        <v>0</v>
      </c>
      <c r="R16" s="58">
        <f ca="1">IF(ISNUMBER(VLOOKUP(D16,תקציב!$B$17:$G$54,3,FALSE)),VLOOKUP(D16,תקציב!$B$17:$G$54,3,FALSE),1)</f>
        <v>1</v>
      </c>
      <c r="S16" s="58">
        <f t="shared" ca="1" si="4"/>
        <v>0</v>
      </c>
      <c r="T16" s="59">
        <f t="shared" ca="1" si="5"/>
        <v>0</v>
      </c>
      <c r="U16" s="208">
        <f ca="1">IFERROR(VLOOKUP(D16,תקציב!$B$17:$H$54,7,FALSE),0)-T16</f>
        <v>0</v>
      </c>
    </row>
    <row r="17" spans="3:26" ht="15" customHeight="1" x14ac:dyDescent="0.2">
      <c r="C17" s="48" t="str">
        <f t="shared" si="0"/>
        <v>תכניות/פרקים</v>
      </c>
      <c r="D17" s="209" t="str">
        <f>'מק"ט'!$C$8&amp;VLOOKUP(H17,'מק"ט'!$D$2:$E$9,2,FALSE)&amp;VLOOKUP(F17,'מק"ט'!$F$2:$G$11,2,FALSE)&amp;RIGHT(VLOOKUP(G17,'מק"ט'!H:I,2,FALSE),2)</f>
        <v>71110105</v>
      </c>
      <c r="E17" s="72" t="str">
        <f>RIGHT(VLOOKUP(G17,'מק"ט'!H:I,2,FALSE),2)</f>
        <v>05</v>
      </c>
      <c r="F17" s="86" t="s">
        <v>149</v>
      </c>
      <c r="G17" s="66" t="s">
        <v>179</v>
      </c>
      <c r="H17" s="67" t="s">
        <v>26</v>
      </c>
      <c r="I17" s="68"/>
      <c r="J17" s="68"/>
      <c r="K17" s="68"/>
      <c r="L17" s="69"/>
      <c r="M17" s="270">
        <f t="shared" si="3"/>
        <v>15</v>
      </c>
      <c r="N17" s="73"/>
      <c r="P17" s="57">
        <f ca="1">IFERROR(VLOOKUP(D17,תקציב!$B$17:$G$54,6,0),0)</f>
        <v>0</v>
      </c>
      <c r="Q17" s="58">
        <f ca="1">IFERROR(VLOOKUP(D17,תקציב!$B$17:$G$54,5,0),0)</f>
        <v>0</v>
      </c>
      <c r="R17" s="58">
        <f ca="1">IF(ISNUMBER(VLOOKUP(D17,תקציב!$B$17:$G$54,3,FALSE)),VLOOKUP(D17,תקציב!$B$17:$G$54,3,FALSE),1)</f>
        <v>1</v>
      </c>
      <c r="S17" s="58">
        <f t="shared" ca="1" si="4"/>
        <v>0</v>
      </c>
      <c r="T17" s="59">
        <f t="shared" ca="1" si="5"/>
        <v>0</v>
      </c>
      <c r="U17" s="208">
        <f ca="1">IFERROR(VLOOKUP(D17,תקציב!$B$17:$H$54,7,FALSE),0)-T17</f>
        <v>0</v>
      </c>
    </row>
    <row r="18" spans="3:26" ht="15" customHeight="1" x14ac:dyDescent="0.2">
      <c r="C18" s="48" t="str">
        <f t="shared" si="0"/>
        <v>ימים</v>
      </c>
      <c r="D18" s="209" t="str">
        <f>'מק"ט'!$C$8&amp;VLOOKUP(H18,'מק"ט'!$D$2:$E$9,2,FALSE)&amp;VLOOKUP(F18,'מק"ט'!$F$2:$G$11,2,FALSE)&amp;RIGHT(VLOOKUP(G18,'מק"ט'!H:I,2,FALSE),2)</f>
        <v>71120105</v>
      </c>
      <c r="E18" s="72" t="str">
        <f>RIGHT(VLOOKUP(G18,'מק"ט'!H:I,2,FALSE),2)</f>
        <v>05</v>
      </c>
      <c r="F18" s="86" t="s">
        <v>149</v>
      </c>
      <c r="G18" s="66" t="s">
        <v>179</v>
      </c>
      <c r="H18" s="67" t="s">
        <v>22</v>
      </c>
      <c r="I18" s="68"/>
      <c r="J18" s="68"/>
      <c r="K18" s="68"/>
      <c r="L18" s="69"/>
      <c r="M18" s="270">
        <f t="shared" si="3"/>
        <v>15</v>
      </c>
      <c r="N18" s="73"/>
      <c r="P18" s="57">
        <f ca="1">IFERROR(VLOOKUP(D18,תקציב!$B$17:$G$54,6,0),0)</f>
        <v>0</v>
      </c>
      <c r="Q18" s="58">
        <f ca="1">IFERROR(VLOOKUP(D18,תקציב!$B$17:$G$54,5,0),0)</f>
        <v>0</v>
      </c>
      <c r="R18" s="58">
        <f ca="1">IF(ISNUMBER(VLOOKUP(D18,תקציב!$B$17:$G$54,3,FALSE)),VLOOKUP(D18,תקציב!$B$17:$G$54,3,FALSE),1)</f>
        <v>1</v>
      </c>
      <c r="S18" s="58">
        <f t="shared" ca="1" si="4"/>
        <v>0</v>
      </c>
      <c r="T18" s="59">
        <f t="shared" ca="1" si="5"/>
        <v>0</v>
      </c>
      <c r="U18" s="208">
        <f ca="1">IFERROR(VLOOKUP(D18,תקציב!$B$17:$H$54,7,FALSE),0)-T18</f>
        <v>0</v>
      </c>
    </row>
    <row r="19" spans="3:26" ht="15" customHeight="1" x14ac:dyDescent="0.2">
      <c r="C19" s="48" t="str">
        <f t="shared" si="0"/>
        <v>שבועות</v>
      </c>
      <c r="D19" s="209" t="str">
        <f>'מק"ט'!$C$8&amp;VLOOKUP(H19,'מק"ט'!$D$2:$E$9,2,FALSE)&amp;VLOOKUP(F19,'מק"ט'!$F$2:$G$11,2,FALSE)&amp;RIGHT(VLOOKUP(G19,'מק"ט'!H:I,2,FALSE),2)</f>
        <v>71130105</v>
      </c>
      <c r="E19" s="72" t="str">
        <f>RIGHT(VLOOKUP(G19,'מק"ט'!H:I,2,FALSE),2)</f>
        <v>05</v>
      </c>
      <c r="F19" s="86" t="s">
        <v>149</v>
      </c>
      <c r="G19" s="66" t="s">
        <v>179</v>
      </c>
      <c r="H19" s="67" t="s">
        <v>27</v>
      </c>
      <c r="I19" s="68"/>
      <c r="J19" s="68"/>
      <c r="K19" s="68"/>
      <c r="L19" s="69"/>
      <c r="M19" s="270">
        <f t="shared" si="3"/>
        <v>15</v>
      </c>
      <c r="N19" s="73"/>
      <c r="P19" s="57">
        <f ca="1">IFERROR(VLOOKUP(D19,תקציב!$B$17:$G$54,6,0),0)</f>
        <v>0</v>
      </c>
      <c r="Q19" s="58">
        <f ca="1">IFERROR(VLOOKUP(D19,תקציב!$B$17:$G$54,5,0),0)</f>
        <v>0</v>
      </c>
      <c r="R19" s="58">
        <f ca="1">IF(ISNUMBER(VLOOKUP(D19,תקציב!$B$17:$G$54,3,FALSE)),VLOOKUP(D19,תקציב!$B$17:$G$54,3,FALSE),1)</f>
        <v>1</v>
      </c>
      <c r="S19" s="58">
        <f t="shared" ca="1" si="4"/>
        <v>0</v>
      </c>
      <c r="T19" s="59">
        <f t="shared" ca="1" si="5"/>
        <v>0</v>
      </c>
      <c r="U19" s="208">
        <f ca="1">IFERROR(VLOOKUP(D19,תקציב!$B$17:$H$54,7,FALSE),0)-T19</f>
        <v>0</v>
      </c>
    </row>
    <row r="20" spans="3:26" ht="15" customHeight="1" x14ac:dyDescent="0.2">
      <c r="C20" s="48" t="str">
        <f t="shared" si="0"/>
        <v>חודשים</v>
      </c>
      <c r="D20" s="209" t="str">
        <f>'מק"ט'!$C$8&amp;VLOOKUP(H20,'מק"ט'!$D$2:$E$9,2,FALSE)&amp;VLOOKUP(F20,'מק"ט'!$F$2:$G$11,2,FALSE)&amp;RIGHT(VLOOKUP(G20,'מק"ט'!H:I,2,FALSE),2)</f>
        <v>71140105</v>
      </c>
      <c r="E20" s="72" t="str">
        <f>RIGHT(VLOOKUP(G20,'מק"ט'!H:I,2,FALSE),2)</f>
        <v>05</v>
      </c>
      <c r="F20" s="86" t="s">
        <v>149</v>
      </c>
      <c r="G20" s="66" t="s">
        <v>179</v>
      </c>
      <c r="H20" s="67" t="s">
        <v>25</v>
      </c>
      <c r="I20" s="68"/>
      <c r="J20" s="68"/>
      <c r="K20" s="68"/>
      <c r="L20" s="69"/>
      <c r="M20" s="270">
        <f t="shared" si="3"/>
        <v>15</v>
      </c>
      <c r="N20" s="73"/>
      <c r="P20" s="57">
        <f ca="1">IFERROR(VLOOKUP(D20,תקציב!$B$17:$G$54,6,0),0)</f>
        <v>0</v>
      </c>
      <c r="Q20" s="58">
        <f ca="1">IFERROR(VLOOKUP(D20,תקציב!$B$17:$G$54,5,0),0)</f>
        <v>0</v>
      </c>
      <c r="R20" s="58">
        <f ca="1">IF(ISNUMBER(VLOOKUP(D20,תקציב!$B$17:$G$54,3,FALSE)),VLOOKUP(D20,תקציב!$B$17:$G$54,3,FALSE),1)</f>
        <v>1</v>
      </c>
      <c r="S20" s="58">
        <f t="shared" ca="1" si="4"/>
        <v>0</v>
      </c>
      <c r="T20" s="59">
        <f t="shared" ca="1" si="5"/>
        <v>0</v>
      </c>
      <c r="U20" s="208">
        <f ca="1">IFERROR(VLOOKUP(D20,תקציב!$B$17:$H$54,7,FALSE),0)-T20</f>
        <v>0</v>
      </c>
    </row>
    <row r="21" spans="3:26" ht="15" customHeight="1" x14ac:dyDescent="0.2">
      <c r="C21" s="48" t="str">
        <f t="shared" si="0"/>
        <v>עונתי גלובלי</v>
      </c>
      <c r="D21" s="209" t="str">
        <f>'מק"ט'!$C$8&amp;VLOOKUP(H21,'מק"ט'!$D$2:$E$9,2,FALSE)&amp;VLOOKUP(F21,'מק"ט'!$F$2:$G$11,2,FALSE)&amp;RIGHT(VLOOKUP(G21,'מק"ט'!H:I,2,FALSE),2)</f>
        <v>71150105</v>
      </c>
      <c r="E21" s="72" t="str">
        <f>RIGHT(VLOOKUP(G21,'מק"ט'!H:I,2,FALSE),2)</f>
        <v>05</v>
      </c>
      <c r="F21" s="86" t="s">
        <v>149</v>
      </c>
      <c r="G21" s="66" t="s">
        <v>179</v>
      </c>
      <c r="H21" s="67" t="s">
        <v>24</v>
      </c>
      <c r="I21" s="68"/>
      <c r="J21" s="68"/>
      <c r="K21" s="68"/>
      <c r="L21" s="69"/>
      <c r="M21" s="270">
        <f t="shared" si="3"/>
        <v>15</v>
      </c>
      <c r="N21" s="73"/>
      <c r="P21" s="57">
        <f ca="1">IFERROR(VLOOKUP(D21,תקציב!$B$17:$G$54,6,0),0)</f>
        <v>0</v>
      </c>
      <c r="Q21" s="58">
        <f ca="1">IFERROR(VLOOKUP(D21,תקציב!$B$17:$G$54,5,0),0)</f>
        <v>0</v>
      </c>
      <c r="R21" s="58">
        <f ca="1">IF(ISNUMBER(VLOOKUP(D21,תקציב!$B$17:$G$54,3,FALSE)),VLOOKUP(D21,תקציב!$B$17:$G$54,3,FALSE),1)</f>
        <v>1</v>
      </c>
      <c r="S21" s="58">
        <f t="shared" ca="1" si="4"/>
        <v>0</v>
      </c>
      <c r="T21" s="59">
        <f t="shared" ca="1" si="5"/>
        <v>0</v>
      </c>
      <c r="U21" s="208">
        <f ca="1">IFERROR(VLOOKUP(D21,תקציב!$B$17:$H$54,7,FALSE),0)-T21</f>
        <v>0</v>
      </c>
    </row>
    <row r="22" spans="3:26" ht="14.25" customHeight="1" x14ac:dyDescent="0.2">
      <c r="C22" s="48" t="str">
        <f t="shared" si="0"/>
        <v>תכניות/פרקים</v>
      </c>
      <c r="D22" s="60" t="str">
        <f>'מק"ט'!$C$8&amp;VLOOKUP(H22,'מק"ט'!$D$2:$E$9,2,FALSE)&amp;VLOOKUP(F22,'מק"ט'!$F$2:$G$11,2,FALSE)&amp;RIGHT(VLOOKUP(G22,'מק"ט'!H:I,2,FALSE),2)</f>
        <v>71110112</v>
      </c>
      <c r="E22" s="74" t="str">
        <f>RIGHT(VLOOKUP(G22,'מק"ט'!H:I,2,FALSE),2)</f>
        <v>12</v>
      </c>
      <c r="F22" s="83" t="s">
        <v>149</v>
      </c>
      <c r="G22" s="71" t="s">
        <v>71</v>
      </c>
      <c r="H22" s="62" t="s">
        <v>26</v>
      </c>
      <c r="I22" s="63"/>
      <c r="J22" s="63"/>
      <c r="K22" s="63"/>
      <c r="L22" s="64"/>
      <c r="M22" s="270">
        <f t="shared" si="3"/>
        <v>20</v>
      </c>
      <c r="P22" s="57">
        <f ca="1">IFERROR(VLOOKUP(D22,תקציב!$B$17:$G$54,6,0),0)</f>
        <v>0</v>
      </c>
      <c r="Q22" s="58">
        <f ca="1">IFERROR(VLOOKUP(D22,תקציב!$B$17:$G$54,5,0),0)</f>
        <v>0</v>
      </c>
      <c r="R22" s="58">
        <f ca="1">IF(ISNUMBER(VLOOKUP(D22,תקציב!$B$17:$G$54,3,FALSE)),VLOOKUP(D22,תקציב!$B$17:$G$54,3,FALSE),1)</f>
        <v>1</v>
      </c>
      <c r="S22" s="58">
        <f t="shared" ca="1" si="4"/>
        <v>0</v>
      </c>
      <c r="T22" s="59">
        <f t="shared" ca="1" si="5"/>
        <v>0</v>
      </c>
      <c r="U22" s="208">
        <f ca="1">IFERROR(VLOOKUP(D22,תקציב!$B$17:$H$54,7,FALSE),0)-T22</f>
        <v>0</v>
      </c>
    </row>
    <row r="23" spans="3:26" ht="14.25" customHeight="1" x14ac:dyDescent="0.2">
      <c r="C23" s="48" t="str">
        <f t="shared" si="0"/>
        <v>ימים</v>
      </c>
      <c r="D23" s="60" t="str">
        <f>'מק"ט'!$C$8&amp;VLOOKUP(H23,'מק"ט'!$D$2:$E$9,2,FALSE)&amp;VLOOKUP(F23,'מק"ט'!$F$2:$G$11,2,FALSE)&amp;RIGHT(VLOOKUP(G23,'מק"ט'!H:I,2,FALSE),2)</f>
        <v>71120112</v>
      </c>
      <c r="E23" s="74" t="str">
        <f>RIGHT(VLOOKUP(G23,'מק"ט'!H:I,2,FALSE),2)</f>
        <v>12</v>
      </c>
      <c r="F23" s="83" t="s">
        <v>149</v>
      </c>
      <c r="G23" s="71" t="s">
        <v>71</v>
      </c>
      <c r="H23" s="62" t="s">
        <v>22</v>
      </c>
      <c r="I23" s="63"/>
      <c r="J23" s="63"/>
      <c r="K23" s="63"/>
      <c r="L23" s="64"/>
      <c r="M23" s="270">
        <f t="shared" si="3"/>
        <v>20</v>
      </c>
      <c r="P23" s="57">
        <f ca="1">IFERROR(VLOOKUP(D23,תקציב!$B$17:$G$54,6,0),0)</f>
        <v>0</v>
      </c>
      <c r="Q23" s="58">
        <f ca="1">IFERROR(VLOOKUP(D23,תקציב!$B$17:$G$54,5,0),0)</f>
        <v>0</v>
      </c>
      <c r="R23" s="58">
        <f ca="1">IF(ISNUMBER(VLOOKUP(D23,תקציב!$B$17:$G$54,3,FALSE)),VLOOKUP(D23,תקציב!$B$17:$G$54,3,FALSE),1)</f>
        <v>1</v>
      </c>
      <c r="S23" s="58">
        <f t="shared" ca="1" si="4"/>
        <v>0</v>
      </c>
      <c r="T23" s="59">
        <f t="shared" ca="1" si="5"/>
        <v>0</v>
      </c>
      <c r="U23" s="208">
        <f ca="1">IFERROR(VLOOKUP(D23,תקציב!$B$17:$H$54,7,FALSE),0)-T23</f>
        <v>0</v>
      </c>
    </row>
    <row r="24" spans="3:26" ht="14.25" customHeight="1" x14ac:dyDescent="0.2">
      <c r="C24" s="48" t="str">
        <f t="shared" si="0"/>
        <v>שבועות</v>
      </c>
      <c r="D24" s="60" t="str">
        <f>'מק"ט'!$C$8&amp;VLOOKUP(H24,'מק"ט'!$D$2:$E$9,2,FALSE)&amp;VLOOKUP(F24,'מק"ט'!$F$2:$G$11,2,FALSE)&amp;RIGHT(VLOOKUP(G24,'מק"ט'!H:I,2,FALSE),2)</f>
        <v>71130112</v>
      </c>
      <c r="E24" s="74" t="str">
        <f>RIGHT(VLOOKUP(G24,'מק"ט'!H:I,2,FALSE),2)</f>
        <v>12</v>
      </c>
      <c r="F24" s="83" t="s">
        <v>149</v>
      </c>
      <c r="G24" s="71" t="s">
        <v>71</v>
      </c>
      <c r="H24" s="62" t="s">
        <v>27</v>
      </c>
      <c r="I24" s="63"/>
      <c r="J24" s="63"/>
      <c r="K24" s="63"/>
      <c r="L24" s="64"/>
      <c r="M24" s="270">
        <f t="shared" si="3"/>
        <v>20</v>
      </c>
      <c r="P24" s="57">
        <f ca="1">IFERROR(VLOOKUP(D24,תקציב!$B$17:$G$54,6,0),0)</f>
        <v>0</v>
      </c>
      <c r="Q24" s="58">
        <f ca="1">IFERROR(VLOOKUP(D24,תקציב!$B$17:$G$54,5,0),0)</f>
        <v>0</v>
      </c>
      <c r="R24" s="58">
        <f ca="1">IF(ISNUMBER(VLOOKUP(D24,תקציב!$B$17:$G$54,3,FALSE)),VLOOKUP(D24,תקציב!$B$17:$G$54,3,FALSE),1)</f>
        <v>1</v>
      </c>
      <c r="S24" s="58">
        <f t="shared" ca="1" si="4"/>
        <v>0</v>
      </c>
      <c r="T24" s="59">
        <f t="shared" ca="1" si="5"/>
        <v>0</v>
      </c>
      <c r="U24" s="208">
        <f ca="1">IFERROR(VLOOKUP(D24,תקציב!$B$17:$H$54,7,FALSE),0)-T24</f>
        <v>0</v>
      </c>
    </row>
    <row r="25" spans="3:26" ht="14.25" customHeight="1" x14ac:dyDescent="0.2">
      <c r="C25" s="48" t="str">
        <f t="shared" si="0"/>
        <v>חודשים</v>
      </c>
      <c r="D25" s="60" t="str">
        <f>'מק"ט'!$C$8&amp;VLOOKUP(H25,'מק"ט'!$D$2:$E$9,2,FALSE)&amp;VLOOKUP(F25,'מק"ט'!$F$2:$G$11,2,FALSE)&amp;RIGHT(VLOOKUP(G25,'מק"ט'!H:I,2,FALSE),2)</f>
        <v>71140112</v>
      </c>
      <c r="E25" s="74" t="str">
        <f>RIGHT(VLOOKUP(G25,'מק"ט'!H:I,2,FALSE),2)</f>
        <v>12</v>
      </c>
      <c r="F25" s="83" t="s">
        <v>149</v>
      </c>
      <c r="G25" s="71" t="s">
        <v>71</v>
      </c>
      <c r="H25" s="62" t="s">
        <v>25</v>
      </c>
      <c r="I25" s="63"/>
      <c r="J25" s="63"/>
      <c r="K25" s="63"/>
      <c r="L25" s="64"/>
      <c r="M25" s="270">
        <f t="shared" si="3"/>
        <v>20</v>
      </c>
      <c r="P25" s="57">
        <f ca="1">IFERROR(VLOOKUP(D25,תקציב!$B$17:$G$54,6,0),0)</f>
        <v>0</v>
      </c>
      <c r="Q25" s="58">
        <f ca="1">IFERROR(VLOOKUP(D25,תקציב!$B$17:$G$54,5,0),0)</f>
        <v>0</v>
      </c>
      <c r="R25" s="58">
        <f ca="1">IF(ISNUMBER(VLOOKUP(D25,תקציב!$B$17:$G$54,3,FALSE)),VLOOKUP(D25,תקציב!$B$17:$G$54,3,FALSE),1)</f>
        <v>1</v>
      </c>
      <c r="S25" s="58">
        <f t="shared" ca="1" si="4"/>
        <v>0</v>
      </c>
      <c r="T25" s="59">
        <f t="shared" ca="1" si="5"/>
        <v>0</v>
      </c>
      <c r="U25" s="208">
        <f ca="1">IFERROR(VLOOKUP(D25,תקציב!$B$17:$H$54,7,FALSE),0)-T25</f>
        <v>0</v>
      </c>
    </row>
    <row r="26" spans="3:26" ht="14.25" customHeight="1" x14ac:dyDescent="0.2">
      <c r="C26" s="48" t="str">
        <f t="shared" si="0"/>
        <v>עונתי גלובלי</v>
      </c>
      <c r="D26" s="60" t="str">
        <f>'מק"ט'!$C$8&amp;VLOOKUP(H26,'מק"ט'!$D$2:$E$9,2,FALSE)&amp;VLOOKUP(F26,'מק"ט'!$F$2:$G$11,2,FALSE)&amp;RIGHT(VLOOKUP(G26,'מק"ט'!H:I,2,FALSE),2)</f>
        <v>71150112</v>
      </c>
      <c r="E26" s="74" t="str">
        <f>RIGHT(VLOOKUP(G26,'מק"ט'!H:I,2,FALSE),2)</f>
        <v>12</v>
      </c>
      <c r="F26" s="83" t="s">
        <v>149</v>
      </c>
      <c r="G26" s="71" t="s">
        <v>71</v>
      </c>
      <c r="H26" s="62" t="s">
        <v>24</v>
      </c>
      <c r="I26" s="63"/>
      <c r="J26" s="63"/>
      <c r="K26" s="63"/>
      <c r="L26" s="64"/>
      <c r="M26" s="270">
        <f t="shared" si="3"/>
        <v>20</v>
      </c>
      <c r="P26" s="57">
        <f ca="1">IFERROR(VLOOKUP(D26,תקציב!$B$17:$G$54,6,0),0)</f>
        <v>0</v>
      </c>
      <c r="Q26" s="58">
        <f ca="1">IFERROR(VLOOKUP(D26,תקציב!$B$17:$G$54,5,0),0)</f>
        <v>0</v>
      </c>
      <c r="R26" s="58">
        <f ca="1">IF(ISNUMBER(VLOOKUP(D26,תקציב!$B$17:$G$54,3,FALSE)),VLOOKUP(D26,תקציב!$B$17:$G$54,3,FALSE),1)</f>
        <v>1</v>
      </c>
      <c r="S26" s="58">
        <f t="shared" ca="1" si="4"/>
        <v>0</v>
      </c>
      <c r="T26" s="59">
        <f t="shared" ca="1" si="5"/>
        <v>0</v>
      </c>
      <c r="U26" s="208">
        <f ca="1">IFERROR(VLOOKUP(D26,תקציב!$B$17:$H$54,7,FALSE),0)-T26</f>
        <v>0</v>
      </c>
    </row>
    <row r="27" spans="3:26" ht="14.25" customHeight="1" x14ac:dyDescent="0.2">
      <c r="C27" s="48" t="str">
        <f t="shared" si="0"/>
        <v>תכניות/פרקים</v>
      </c>
      <c r="D27" s="209" t="str">
        <f>'מק"ט'!$C$8&amp;VLOOKUP(H27,'מק"ט'!$D$2:$E$9,2,FALSE)&amp;VLOOKUP(F27,'מק"ט'!$F$2:$G$11,2,FALSE)&amp;RIGHT(VLOOKUP(G27,'מק"ט'!H:I,2,FALSE),2)</f>
        <v>71110108</v>
      </c>
      <c r="E27" s="65" t="str">
        <f>RIGHT(VLOOKUP(G27,'מק"ט'!H:I,2,FALSE),2)</f>
        <v>08</v>
      </c>
      <c r="F27" s="86" t="s">
        <v>149</v>
      </c>
      <c r="G27" s="75" t="s">
        <v>14</v>
      </c>
      <c r="H27" s="67" t="s">
        <v>26</v>
      </c>
      <c r="I27" s="68"/>
      <c r="J27" s="68"/>
      <c r="K27" s="68"/>
      <c r="L27" s="69"/>
      <c r="M27" s="270">
        <f t="shared" si="3"/>
        <v>25</v>
      </c>
      <c r="P27" s="57">
        <f ca="1">IFERROR(VLOOKUP(D27,תקציב!$B$17:$G$54,6,0),0)</f>
        <v>0</v>
      </c>
      <c r="Q27" s="58">
        <f ca="1">IFERROR(VLOOKUP(D27,תקציב!$B$17:$G$54,5,0),0)</f>
        <v>0</v>
      </c>
      <c r="R27" s="58">
        <f ca="1">IF(ISNUMBER(VLOOKUP(D27,תקציב!$B$17:$G$54,3,FALSE)),VLOOKUP(D27,תקציב!$B$17:$G$54,3,FALSE),1)</f>
        <v>1</v>
      </c>
      <c r="S27" s="58">
        <f t="shared" ca="1" si="4"/>
        <v>0</v>
      </c>
      <c r="T27" s="59">
        <f t="shared" ca="1" si="5"/>
        <v>0</v>
      </c>
      <c r="U27" s="208">
        <f ca="1">IFERROR(VLOOKUP(D27,תקציב!$B$17:$H$54,7,FALSE),0)-T27</f>
        <v>0</v>
      </c>
    </row>
    <row r="28" spans="3:26" ht="14.25" customHeight="1" x14ac:dyDescent="0.2">
      <c r="C28" s="48" t="str">
        <f t="shared" si="0"/>
        <v>ימים</v>
      </c>
      <c r="D28" s="209" t="str">
        <f>'מק"ט'!$C$8&amp;VLOOKUP(H28,'מק"ט'!$D$2:$E$9,2,FALSE)&amp;VLOOKUP(F28,'מק"ט'!$F$2:$G$11,2,FALSE)&amp;RIGHT(VLOOKUP(G28,'מק"ט'!H:I,2,FALSE),2)</f>
        <v>71120108</v>
      </c>
      <c r="E28" s="65" t="str">
        <f>RIGHT(VLOOKUP(G28,'מק"ט'!H:I,2,FALSE),2)</f>
        <v>08</v>
      </c>
      <c r="F28" s="86" t="s">
        <v>149</v>
      </c>
      <c r="G28" s="75" t="s">
        <v>14</v>
      </c>
      <c r="H28" s="67" t="s">
        <v>22</v>
      </c>
      <c r="I28" s="68"/>
      <c r="J28" s="68"/>
      <c r="K28" s="68"/>
      <c r="L28" s="69"/>
      <c r="M28" s="270">
        <f t="shared" si="3"/>
        <v>25</v>
      </c>
      <c r="P28" s="57">
        <f ca="1">IFERROR(VLOOKUP(D28,תקציב!$B$17:$G$54,6,0),0)</f>
        <v>0</v>
      </c>
      <c r="Q28" s="58">
        <f ca="1">IFERROR(VLOOKUP(D28,תקציב!$B$17:$G$54,5,0),0)</f>
        <v>0</v>
      </c>
      <c r="R28" s="58">
        <f ca="1">IF(ISNUMBER(VLOOKUP(D28,תקציב!$B$17:$G$54,3,FALSE)),VLOOKUP(D28,תקציב!$B$17:$G$54,3,FALSE),1)</f>
        <v>1</v>
      </c>
      <c r="S28" s="58">
        <f t="shared" ca="1" si="4"/>
        <v>0</v>
      </c>
      <c r="T28" s="59">
        <f t="shared" ca="1" si="5"/>
        <v>0</v>
      </c>
      <c r="U28" s="208">
        <f ca="1">IFERROR(VLOOKUP(D28,תקציב!$B$17:$H$54,7,FALSE),0)-T28</f>
        <v>0</v>
      </c>
    </row>
    <row r="29" spans="3:26" ht="14.25" customHeight="1" x14ac:dyDescent="0.2">
      <c r="C29" s="48" t="str">
        <f t="shared" si="0"/>
        <v>שבועות</v>
      </c>
      <c r="D29" s="209" t="str">
        <f>'מק"ט'!$C$8&amp;VLOOKUP(H29,'מק"ט'!$D$2:$E$9,2,FALSE)&amp;VLOOKUP(F29,'מק"ט'!$F$2:$G$11,2,FALSE)&amp;RIGHT(VLOOKUP(G29,'מק"ט'!H:I,2,FALSE),2)</f>
        <v>71130108</v>
      </c>
      <c r="E29" s="65" t="str">
        <f>RIGHT(VLOOKUP(G29,'מק"ט'!H:I,2,FALSE),2)</f>
        <v>08</v>
      </c>
      <c r="F29" s="86" t="s">
        <v>149</v>
      </c>
      <c r="G29" s="75" t="s">
        <v>14</v>
      </c>
      <c r="H29" s="67" t="s">
        <v>27</v>
      </c>
      <c r="I29" s="68"/>
      <c r="J29" s="68"/>
      <c r="K29" s="68"/>
      <c r="L29" s="69"/>
      <c r="M29" s="270">
        <f t="shared" si="3"/>
        <v>25</v>
      </c>
      <c r="P29" s="57">
        <f ca="1">IFERROR(VLOOKUP(D29,תקציב!$B$17:$G$54,6,0),0)</f>
        <v>0</v>
      </c>
      <c r="Q29" s="58">
        <f ca="1">IFERROR(VLOOKUP(D29,תקציב!$B$17:$G$54,5,0),0)</f>
        <v>0</v>
      </c>
      <c r="R29" s="58">
        <f ca="1">IF(ISNUMBER(VLOOKUP(D29,תקציב!$B$17:$G$54,3,FALSE)),VLOOKUP(D29,תקציב!$B$17:$G$54,3,FALSE),1)</f>
        <v>1</v>
      </c>
      <c r="S29" s="58">
        <f t="shared" ca="1" si="4"/>
        <v>0</v>
      </c>
      <c r="T29" s="59">
        <f t="shared" ca="1" si="5"/>
        <v>0</v>
      </c>
      <c r="U29" s="208">
        <f ca="1">IFERROR(VLOOKUP(D29,תקציב!$B$17:$H$54,7,FALSE),0)-T29</f>
        <v>0</v>
      </c>
    </row>
    <row r="30" spans="3:26" ht="14.25" customHeight="1" x14ac:dyDescent="0.2">
      <c r="C30" s="48" t="str">
        <f t="shared" si="0"/>
        <v>חודשים</v>
      </c>
      <c r="D30" s="209" t="str">
        <f>'מק"ט'!$C$8&amp;VLOOKUP(H30,'מק"ט'!$D$2:$E$9,2,FALSE)&amp;VLOOKUP(F30,'מק"ט'!$F$2:$G$11,2,FALSE)&amp;RIGHT(VLOOKUP(G30,'מק"ט'!H:I,2,FALSE),2)</f>
        <v>71140108</v>
      </c>
      <c r="E30" s="65" t="str">
        <f>RIGHT(VLOOKUP(G30,'מק"ט'!H:I,2,FALSE),2)</f>
        <v>08</v>
      </c>
      <c r="F30" s="86" t="s">
        <v>149</v>
      </c>
      <c r="G30" s="75" t="s">
        <v>14</v>
      </c>
      <c r="H30" s="67" t="s">
        <v>25</v>
      </c>
      <c r="I30" s="68"/>
      <c r="J30" s="68"/>
      <c r="K30" s="68"/>
      <c r="L30" s="69"/>
      <c r="M30" s="270">
        <f t="shared" si="3"/>
        <v>25</v>
      </c>
      <c r="P30" s="57">
        <f ca="1">IFERROR(VLOOKUP(D30,תקציב!$B$17:$G$54,6,0),0)</f>
        <v>0</v>
      </c>
      <c r="Q30" s="58">
        <f ca="1">IFERROR(VLOOKUP(D30,תקציב!$B$17:$G$54,5,0),0)</f>
        <v>0</v>
      </c>
      <c r="R30" s="58">
        <f ca="1">IF(ISNUMBER(VLOOKUP(D30,תקציב!$B$17:$G$54,3,FALSE)),VLOOKUP(D30,תקציב!$B$17:$G$54,3,FALSE),1)</f>
        <v>1</v>
      </c>
      <c r="S30" s="58">
        <f t="shared" ca="1" si="4"/>
        <v>0</v>
      </c>
      <c r="T30" s="59">
        <f t="shared" ca="1" si="5"/>
        <v>0</v>
      </c>
      <c r="U30" s="208">
        <f ca="1">IFERROR(VLOOKUP(D30,תקציב!$B$17:$H$54,7,FALSE),0)-T30</f>
        <v>0</v>
      </c>
    </row>
    <row r="31" spans="3:26" ht="14.25" customHeight="1" thickBot="1" x14ac:dyDescent="0.25">
      <c r="C31" s="48" t="str">
        <f t="shared" si="0"/>
        <v>עונתי גלובלי</v>
      </c>
      <c r="D31" s="210" t="str">
        <f>'מק"ט'!$C$8&amp;VLOOKUP(H31,'מק"ט'!$D$2:$E$9,2,FALSE)&amp;VLOOKUP(F31,'מק"ט'!$F$2:$G$11,2,FALSE)&amp;RIGHT(VLOOKUP(G31,'מק"ט'!H:I,2,FALSE),2)</f>
        <v>71150108</v>
      </c>
      <c r="E31" s="95" t="str">
        <f>RIGHT(VLOOKUP(G31,'מק"ט'!H:I,2,FALSE),2)</f>
        <v>08</v>
      </c>
      <c r="F31" s="90" t="s">
        <v>149</v>
      </c>
      <c r="G31" s="215" t="s">
        <v>14</v>
      </c>
      <c r="H31" s="91" t="s">
        <v>24</v>
      </c>
      <c r="I31" s="248"/>
      <c r="J31" s="248"/>
      <c r="K31" s="248"/>
      <c r="L31" s="109"/>
      <c r="M31" s="270">
        <f t="shared" si="3"/>
        <v>25</v>
      </c>
      <c r="P31" s="57">
        <f ca="1">IFERROR(VLOOKUP(D31,תקציב!$B$17:$G$54,6,0),0)</f>
        <v>0</v>
      </c>
      <c r="Q31" s="58">
        <f ca="1">IFERROR(VLOOKUP(D31,תקציב!$B$17:$G$54,5,0),0)</f>
        <v>0</v>
      </c>
      <c r="R31" s="58">
        <f ca="1">IF(ISNUMBER(VLOOKUP(D31,תקציב!$B$17:$G$54,3,FALSE)),VLOOKUP(D31,תקציב!$B$17:$G$54,3,FALSE),1)</f>
        <v>1</v>
      </c>
      <c r="S31" s="58">
        <f t="shared" ca="1" si="4"/>
        <v>0</v>
      </c>
      <c r="T31" s="59">
        <f t="shared" ca="1" si="5"/>
        <v>0</v>
      </c>
      <c r="U31" s="208">
        <f ca="1">IFERROR(VLOOKUP(D31,תקציב!$B$17:$H$54,7,FALSE),0)-T31</f>
        <v>0</v>
      </c>
    </row>
    <row r="32" spans="3:26" ht="15" customHeight="1" x14ac:dyDescent="0.2">
      <c r="C32" s="48" t="str">
        <f t="shared" si="0"/>
        <v>תכניות/פרקים</v>
      </c>
      <c r="D32" s="60" t="str">
        <f>'מק"ט'!$C$8&amp;VLOOKUP(H32,'מק"ט'!$D$2:$E$9,2,FALSE)&amp;VLOOKUP(F32,'מק"ט'!$F$2:$G$11,2,FALSE)&amp;RIGHT(VLOOKUP(G32,'מק"ט'!H:I,2,FALSE),2)</f>
        <v>71110416</v>
      </c>
      <c r="E32" s="74" t="str">
        <f>RIGHT(VLOOKUP(G32,'מק"ט'!H:I,2,FALSE),2)</f>
        <v>16</v>
      </c>
      <c r="F32" s="83" t="s">
        <v>151</v>
      </c>
      <c r="G32" s="94" t="s">
        <v>244</v>
      </c>
      <c r="H32" s="62" t="s">
        <v>26</v>
      </c>
      <c r="I32" s="84"/>
      <c r="J32" s="84"/>
      <c r="K32" s="84"/>
      <c r="L32" s="78"/>
      <c r="M32" s="270">
        <f t="shared" si="3"/>
        <v>30</v>
      </c>
      <c r="P32" s="57">
        <f ca="1">IFERROR(VLOOKUP(D32,תקציב!$B$17:$G$54,6,0),0)</f>
        <v>0</v>
      </c>
      <c r="Q32" s="58">
        <f ca="1">IFERROR(VLOOKUP(D32,תקציב!$B$17:$G$54,5,0),0)</f>
        <v>0</v>
      </c>
      <c r="R32" s="58">
        <f ca="1">IF(ISNUMBER(VLOOKUP(D32,תקציב!$B$17:$G$54,3,FALSE)),VLOOKUP(D32,תקציב!$B$17:$G$54,3,FALSE),1)</f>
        <v>1</v>
      </c>
      <c r="S32" s="58">
        <f t="shared" ca="1" si="4"/>
        <v>0</v>
      </c>
      <c r="T32" s="59">
        <f t="shared" ca="1" si="5"/>
        <v>0</v>
      </c>
      <c r="U32" s="208">
        <f ca="1">IFERROR(VLOOKUP(D32,תקציב!$B$17:$H$54,7,FALSE),0)-T32</f>
        <v>0</v>
      </c>
      <c r="Z32" s="88"/>
    </row>
    <row r="33" spans="3:26" ht="15" customHeight="1" x14ac:dyDescent="0.2">
      <c r="C33" s="48" t="str">
        <f t="shared" si="0"/>
        <v>ימים</v>
      </c>
      <c r="D33" s="60" t="str">
        <f>'מק"ט'!$C$8&amp;VLOOKUP(H33,'מק"ט'!$D$2:$E$9,2,FALSE)&amp;VLOOKUP(F33,'מק"ט'!$F$2:$G$11,2,FALSE)&amp;RIGHT(VLOOKUP(G33,'מק"ט'!H:I,2,FALSE),2)</f>
        <v>71120416</v>
      </c>
      <c r="E33" s="74" t="str">
        <f>RIGHT(VLOOKUP(G33,'מק"ט'!H:I,2,FALSE),2)</f>
        <v>16</v>
      </c>
      <c r="F33" s="83" t="s">
        <v>151</v>
      </c>
      <c r="G33" s="94" t="s">
        <v>244</v>
      </c>
      <c r="H33" s="62" t="s">
        <v>22</v>
      </c>
      <c r="I33" s="84"/>
      <c r="J33" s="84"/>
      <c r="K33" s="84"/>
      <c r="L33" s="78"/>
      <c r="M33" s="270">
        <f t="shared" si="3"/>
        <v>30</v>
      </c>
      <c r="P33" s="57">
        <f ca="1">IFERROR(VLOOKUP(D33,תקציב!$B$17:$G$54,6,0),0)</f>
        <v>0</v>
      </c>
      <c r="Q33" s="58">
        <f ca="1">IFERROR(VLOOKUP(D33,תקציב!$B$17:$G$54,5,0),0)</f>
        <v>0</v>
      </c>
      <c r="R33" s="58">
        <f ca="1">IF(ISNUMBER(VLOOKUP(D33,תקציב!$B$17:$G$54,3,FALSE)),VLOOKUP(D33,תקציב!$B$17:$G$54,3,FALSE),1)</f>
        <v>1</v>
      </c>
      <c r="S33" s="58">
        <f t="shared" ca="1" si="4"/>
        <v>0</v>
      </c>
      <c r="T33" s="59">
        <f t="shared" ca="1" si="5"/>
        <v>0</v>
      </c>
      <c r="U33" s="208">
        <f ca="1">IFERROR(VLOOKUP(D33,תקציב!$B$17:$H$54,7,FALSE),0)-T33</f>
        <v>0</v>
      </c>
      <c r="Z33" s="88"/>
    </row>
    <row r="34" spans="3:26" ht="15" customHeight="1" x14ac:dyDescent="0.2">
      <c r="C34" s="48" t="str">
        <f t="shared" si="0"/>
        <v>שבועות</v>
      </c>
      <c r="D34" s="60" t="str">
        <f>'מק"ט'!$C$8&amp;VLOOKUP(H34,'מק"ט'!$D$2:$E$9,2,FALSE)&amp;VLOOKUP(F34,'מק"ט'!$F$2:$G$11,2,FALSE)&amp;RIGHT(VLOOKUP(G34,'מק"ט'!H:I,2,FALSE),2)</f>
        <v>71130416</v>
      </c>
      <c r="E34" s="74" t="str">
        <f>RIGHT(VLOOKUP(G34,'מק"ט'!H:I,2,FALSE),2)</f>
        <v>16</v>
      </c>
      <c r="F34" s="83" t="s">
        <v>151</v>
      </c>
      <c r="G34" s="94" t="s">
        <v>244</v>
      </c>
      <c r="H34" s="62" t="s">
        <v>27</v>
      </c>
      <c r="I34" s="84"/>
      <c r="J34" s="84"/>
      <c r="K34" s="84"/>
      <c r="L34" s="78"/>
      <c r="M34" s="270">
        <f t="shared" si="3"/>
        <v>30</v>
      </c>
      <c r="P34" s="57">
        <f ca="1">IFERROR(VLOOKUP(D34,תקציב!$B$17:$G$54,6,0),0)</f>
        <v>0</v>
      </c>
      <c r="Q34" s="58">
        <f ca="1">IFERROR(VLOOKUP(D34,תקציב!$B$17:$G$54,5,0),0)</f>
        <v>0</v>
      </c>
      <c r="R34" s="58">
        <f ca="1">IF(ISNUMBER(VLOOKUP(D34,תקציב!$B$17:$G$54,3,FALSE)),VLOOKUP(D34,תקציב!$B$17:$G$54,3,FALSE),1)</f>
        <v>1</v>
      </c>
      <c r="S34" s="58">
        <f t="shared" ca="1" si="4"/>
        <v>0</v>
      </c>
      <c r="T34" s="59">
        <f t="shared" ca="1" si="5"/>
        <v>0</v>
      </c>
      <c r="U34" s="208">
        <f ca="1">IFERROR(VLOOKUP(D34,תקציב!$B$17:$H$54,7,FALSE),0)-T34</f>
        <v>0</v>
      </c>
      <c r="Z34" s="88"/>
    </row>
    <row r="35" spans="3:26" ht="15" customHeight="1" x14ac:dyDescent="0.2">
      <c r="C35" s="48" t="str">
        <f t="shared" si="0"/>
        <v>חודשים</v>
      </c>
      <c r="D35" s="60" t="str">
        <f>'מק"ט'!$C$8&amp;VLOOKUP(H35,'מק"ט'!$D$2:$E$9,2,FALSE)&amp;VLOOKUP(F35,'מק"ט'!$F$2:$G$11,2,FALSE)&amp;RIGHT(VLOOKUP(G35,'מק"ט'!H:I,2,FALSE),2)</f>
        <v>71140416</v>
      </c>
      <c r="E35" s="70" t="str">
        <f>RIGHT(VLOOKUP(G35,'מק"ט'!H:I,2,FALSE),2)</f>
        <v>16</v>
      </c>
      <c r="F35" s="83" t="s">
        <v>151</v>
      </c>
      <c r="G35" s="94" t="s">
        <v>244</v>
      </c>
      <c r="H35" s="62" t="s">
        <v>25</v>
      </c>
      <c r="I35" s="84"/>
      <c r="J35" s="84"/>
      <c r="K35" s="84"/>
      <c r="L35" s="78"/>
      <c r="M35" s="270">
        <f t="shared" si="3"/>
        <v>30</v>
      </c>
      <c r="P35" s="57">
        <f ca="1">IFERROR(VLOOKUP(D35,תקציב!$B$17:$G$54,6,0),0)</f>
        <v>0</v>
      </c>
      <c r="Q35" s="58">
        <f ca="1">IFERROR(VLOOKUP(D35,תקציב!$B$17:$G$54,5,0),0)</f>
        <v>0</v>
      </c>
      <c r="R35" s="58">
        <f ca="1">IF(ISNUMBER(VLOOKUP(D35,תקציב!$B$17:$G$54,3,FALSE)),VLOOKUP(D35,תקציב!$B$17:$G$54,3,FALSE),1)</f>
        <v>1</v>
      </c>
      <c r="S35" s="58">
        <f t="shared" ca="1" si="4"/>
        <v>0</v>
      </c>
      <c r="T35" s="59">
        <f t="shared" ca="1" si="5"/>
        <v>0</v>
      </c>
      <c r="U35" s="208">
        <f ca="1">IFERROR(VLOOKUP(D35,תקציב!$B$17:$H$54,7,FALSE),0)-T35</f>
        <v>0</v>
      </c>
      <c r="Z35" s="88"/>
    </row>
    <row r="36" spans="3:26" ht="15" customHeight="1" thickBot="1" x14ac:dyDescent="0.25">
      <c r="C36" s="48" t="str">
        <f t="shared" si="0"/>
        <v>עונתי גלובלי</v>
      </c>
      <c r="D36" s="60" t="str">
        <f>'מק"ט'!$C$8&amp;VLOOKUP(H36,'מק"ט'!$D$2:$E$9,2,FALSE)&amp;VLOOKUP(F36,'מק"ט'!$F$2:$G$11,2,FALSE)&amp;RIGHT(VLOOKUP(G36,'מק"ט'!H:I,2,FALSE),2)</f>
        <v>71150416</v>
      </c>
      <c r="E36" s="70" t="str">
        <f>RIGHT(VLOOKUP(G36,'מק"ט'!H:I,2,FALSE),2)</f>
        <v>16</v>
      </c>
      <c r="F36" s="83" t="s">
        <v>151</v>
      </c>
      <c r="G36" s="94" t="s">
        <v>244</v>
      </c>
      <c r="H36" s="62" t="s">
        <v>24</v>
      </c>
      <c r="I36" s="84"/>
      <c r="J36" s="84"/>
      <c r="K36" s="84"/>
      <c r="L36" s="78"/>
      <c r="M36" s="270">
        <f t="shared" si="3"/>
        <v>30</v>
      </c>
      <c r="P36" s="57">
        <f ca="1">IFERROR(VLOOKUP(D36,תקציב!$B$17:$G$54,6,0),0)</f>
        <v>0</v>
      </c>
      <c r="Q36" s="58">
        <f ca="1">IFERROR(VLOOKUP(D36,תקציב!$B$17:$G$54,5,0),0)</f>
        <v>0</v>
      </c>
      <c r="R36" s="58">
        <f ca="1">IF(ISNUMBER(VLOOKUP(D36,תקציב!$B$17:$G$54,3,FALSE)),VLOOKUP(D36,תקציב!$B$17:$G$54,3,FALSE),1)</f>
        <v>1</v>
      </c>
      <c r="S36" s="58">
        <f t="shared" ca="1" si="4"/>
        <v>0</v>
      </c>
      <c r="T36" s="59">
        <f t="shared" ca="1" si="5"/>
        <v>0</v>
      </c>
      <c r="U36" s="208">
        <f ca="1">IFERROR(VLOOKUP(D36,תקציב!$B$17:$H$54,7,FALSE),0)-T36</f>
        <v>0</v>
      </c>
      <c r="Z36" s="88"/>
    </row>
    <row r="37" spans="3:26" ht="15" customHeight="1" x14ac:dyDescent="0.2">
      <c r="C37" s="48" t="str">
        <f t="shared" si="0"/>
        <v>תכניות/פרקים</v>
      </c>
      <c r="D37" s="216" t="str">
        <f>'מק"ט'!$C$8&amp;VLOOKUP(H37,'מק"ט'!$D$2:$E$9,2,FALSE)&amp;VLOOKUP(F37,'מק"ט'!$F$2:$G$11,2,FALSE)&amp;RIGHT(VLOOKUP(G37,'מק"ט'!H:I,2,FALSE),2)</f>
        <v>71110211</v>
      </c>
      <c r="E37" s="250" t="str">
        <f>RIGHT(VLOOKUP(G37,'מק"ט'!H:I,2,FALSE),2)</f>
        <v>11</v>
      </c>
      <c r="F37" s="251" t="s">
        <v>174</v>
      </c>
      <c r="G37" s="252" t="s">
        <v>255</v>
      </c>
      <c r="H37" s="102" t="s">
        <v>26</v>
      </c>
      <c r="I37" s="103"/>
      <c r="J37" s="103"/>
      <c r="K37" s="103"/>
      <c r="L37" s="110"/>
      <c r="M37" s="270">
        <f t="shared" si="3"/>
        <v>35</v>
      </c>
      <c r="P37" s="57">
        <f ca="1">IFERROR(VLOOKUP(D37,תקציב!$B$17:$G$54,6,0),0)</f>
        <v>0</v>
      </c>
      <c r="Q37" s="58">
        <f ca="1">IFERROR(VLOOKUP(D37,תקציב!$B$17:$G$54,5,0),0)</f>
        <v>0</v>
      </c>
      <c r="R37" s="58">
        <f ca="1">IF(ISNUMBER(VLOOKUP(D37,תקציב!$B$17:$G$54,3,FALSE)),VLOOKUP(D37,תקציב!$B$17:$G$54,3,FALSE),1)</f>
        <v>1</v>
      </c>
      <c r="S37" s="58">
        <f t="shared" ca="1" si="4"/>
        <v>0</v>
      </c>
      <c r="T37" s="59">
        <f t="shared" ca="1" si="5"/>
        <v>0</v>
      </c>
      <c r="U37" s="208">
        <f ca="1">IFERROR(VLOOKUP(D37,תקציב!$B$17:$H$54,7,FALSE),0)-T37</f>
        <v>0</v>
      </c>
      <c r="Z37" s="88"/>
    </row>
    <row r="38" spans="3:26" ht="15" customHeight="1" x14ac:dyDescent="0.2">
      <c r="C38" s="48" t="str">
        <f t="shared" si="0"/>
        <v>ימים</v>
      </c>
      <c r="D38" s="209" t="str">
        <f>'מק"ט'!$C$8&amp;VLOOKUP(H38,'מק"ט'!$D$2:$E$9,2,FALSE)&amp;VLOOKUP(F38,'מק"ט'!$F$2:$G$11,2,FALSE)&amp;RIGHT(VLOOKUP(G38,'מק"ט'!H:I,2,FALSE),2)</f>
        <v>71120211</v>
      </c>
      <c r="E38" s="101" t="str">
        <f>RIGHT(VLOOKUP(G38,'מק"ט'!H:I,2,FALSE),2)</f>
        <v>11</v>
      </c>
      <c r="F38" s="86" t="s">
        <v>174</v>
      </c>
      <c r="G38" s="253" t="s">
        <v>255</v>
      </c>
      <c r="H38" s="67" t="s">
        <v>22</v>
      </c>
      <c r="I38" s="79"/>
      <c r="J38" s="79"/>
      <c r="K38" s="79"/>
      <c r="L38" s="76"/>
      <c r="M38" s="270">
        <f t="shared" si="3"/>
        <v>35</v>
      </c>
      <c r="P38" s="57">
        <f ca="1">IFERROR(VLOOKUP(D38,תקציב!$B$17:$G$54,6,0),0)</f>
        <v>0</v>
      </c>
      <c r="Q38" s="58">
        <f ca="1">IFERROR(VLOOKUP(D38,תקציב!$B$17:$G$54,5,0),0)</f>
        <v>0</v>
      </c>
      <c r="R38" s="58">
        <f ca="1">IF(ISNUMBER(VLOOKUP(D38,תקציב!$B$17:$G$54,3,FALSE)),VLOOKUP(D38,תקציב!$B$17:$G$54,3,FALSE),1)</f>
        <v>1</v>
      </c>
      <c r="S38" s="58">
        <f t="shared" ca="1" si="4"/>
        <v>0</v>
      </c>
      <c r="T38" s="59">
        <f t="shared" ca="1" si="5"/>
        <v>0</v>
      </c>
      <c r="U38" s="208">
        <f ca="1">IFERROR(VLOOKUP(D38,תקציב!$B$17:$H$54,7,FALSE),0)-T38</f>
        <v>0</v>
      </c>
      <c r="Z38" s="88"/>
    </row>
    <row r="39" spans="3:26" ht="15" customHeight="1" x14ac:dyDescent="0.2">
      <c r="C39" s="48" t="str">
        <f t="shared" si="0"/>
        <v>שבועות</v>
      </c>
      <c r="D39" s="209" t="str">
        <f>'מק"ט'!$C$8&amp;VLOOKUP(H39,'מק"ט'!$D$2:$E$9,2,FALSE)&amp;VLOOKUP(F39,'מק"ט'!$F$2:$G$11,2,FALSE)&amp;RIGHT(VLOOKUP(G39,'מק"ט'!H:I,2,FALSE),2)</f>
        <v>71130211</v>
      </c>
      <c r="E39" s="101" t="str">
        <f>RIGHT(VLOOKUP(G39,'מק"ט'!H:I,2,FALSE),2)</f>
        <v>11</v>
      </c>
      <c r="F39" s="86" t="s">
        <v>174</v>
      </c>
      <c r="G39" s="253" t="s">
        <v>255</v>
      </c>
      <c r="H39" s="67" t="s">
        <v>27</v>
      </c>
      <c r="I39" s="79"/>
      <c r="J39" s="79"/>
      <c r="K39" s="79"/>
      <c r="L39" s="76"/>
      <c r="M39" s="270">
        <f t="shared" si="3"/>
        <v>35</v>
      </c>
      <c r="P39" s="57">
        <f ca="1">IFERROR(VLOOKUP(D39,תקציב!$B$17:$G$54,6,0),0)</f>
        <v>0</v>
      </c>
      <c r="Q39" s="58">
        <f ca="1">IFERROR(VLOOKUP(D39,תקציב!$B$17:$G$54,5,0),0)</f>
        <v>0</v>
      </c>
      <c r="R39" s="58">
        <f ca="1">IF(ISNUMBER(VLOOKUP(D39,תקציב!$B$17:$G$54,3,FALSE)),VLOOKUP(D39,תקציב!$B$17:$G$54,3,FALSE),1)</f>
        <v>1</v>
      </c>
      <c r="S39" s="58">
        <f t="shared" ca="1" si="4"/>
        <v>0</v>
      </c>
      <c r="T39" s="59">
        <f t="shared" ca="1" si="5"/>
        <v>0</v>
      </c>
      <c r="U39" s="208">
        <f ca="1">IFERROR(VLOOKUP(D39,תקציב!$B$17:$H$54,7,FALSE),0)-T39</f>
        <v>0</v>
      </c>
      <c r="Z39" s="88"/>
    </row>
    <row r="40" spans="3:26" ht="15" customHeight="1" x14ac:dyDescent="0.2">
      <c r="C40" s="48" t="str">
        <f t="shared" si="0"/>
        <v>חודשים</v>
      </c>
      <c r="D40" s="209" t="str">
        <f>'מק"ט'!$C$8&amp;VLOOKUP(H40,'מק"ט'!$D$2:$E$9,2,FALSE)&amp;VLOOKUP(F40,'מק"ט'!$F$2:$G$11,2,FALSE)&amp;RIGHT(VLOOKUP(G40,'מק"ט'!H:I,2,FALSE),2)</f>
        <v>71140211</v>
      </c>
      <c r="E40" s="101" t="str">
        <f>RIGHT(VLOOKUP(G40,'מק"ט'!H:I,2,FALSE),2)</f>
        <v>11</v>
      </c>
      <c r="F40" s="86" t="s">
        <v>174</v>
      </c>
      <c r="G40" s="253" t="s">
        <v>255</v>
      </c>
      <c r="H40" s="67" t="s">
        <v>25</v>
      </c>
      <c r="I40" s="79"/>
      <c r="J40" s="79"/>
      <c r="K40" s="79"/>
      <c r="L40" s="76"/>
      <c r="M40" s="270">
        <f t="shared" si="3"/>
        <v>35</v>
      </c>
      <c r="P40" s="57">
        <f ca="1">IFERROR(VLOOKUP(D40,תקציב!$B$17:$G$54,6,0),0)</f>
        <v>0</v>
      </c>
      <c r="Q40" s="58">
        <f ca="1">IFERROR(VLOOKUP(D40,תקציב!$B$17:$G$54,5,0),0)</f>
        <v>0</v>
      </c>
      <c r="R40" s="58">
        <f ca="1">IF(ISNUMBER(VLOOKUP(D40,תקציב!$B$17:$G$54,3,FALSE)),VLOOKUP(D40,תקציב!$B$17:$G$54,3,FALSE),1)</f>
        <v>1</v>
      </c>
      <c r="S40" s="58">
        <f t="shared" ca="1" si="4"/>
        <v>0</v>
      </c>
      <c r="T40" s="59">
        <f t="shared" ca="1" si="5"/>
        <v>0</v>
      </c>
      <c r="U40" s="208">
        <f ca="1">IFERROR(VLOOKUP(D40,תקציב!$B$17:$H$54,7,FALSE),0)-T40</f>
        <v>0</v>
      </c>
      <c r="Z40" s="88"/>
    </row>
    <row r="41" spans="3:26" ht="15" customHeight="1" x14ac:dyDescent="0.2">
      <c r="C41" s="48" t="str">
        <f t="shared" si="0"/>
        <v>עונתי גלובלי</v>
      </c>
      <c r="D41" s="209" t="str">
        <f>'מק"ט'!$C$8&amp;VLOOKUP(H41,'מק"ט'!$D$2:$E$9,2,FALSE)&amp;VLOOKUP(F41,'מק"ט'!$F$2:$G$11,2,FALSE)&amp;RIGHT(VLOOKUP(G41,'מק"ט'!H:I,2,FALSE),2)</f>
        <v>71150211</v>
      </c>
      <c r="E41" s="101" t="str">
        <f>RIGHT(VLOOKUP(G41,'מק"ט'!H:I,2,FALSE),2)</f>
        <v>11</v>
      </c>
      <c r="F41" s="86" t="s">
        <v>174</v>
      </c>
      <c r="G41" s="253" t="s">
        <v>255</v>
      </c>
      <c r="H41" s="67" t="s">
        <v>24</v>
      </c>
      <c r="I41" s="79"/>
      <c r="J41" s="79"/>
      <c r="K41" s="79"/>
      <c r="L41" s="76"/>
      <c r="M41" s="270">
        <f t="shared" si="3"/>
        <v>35</v>
      </c>
      <c r="P41" s="57">
        <f ca="1">IFERROR(VLOOKUP(D41,תקציב!$B$17:$G$54,6,0),0)</f>
        <v>0</v>
      </c>
      <c r="Q41" s="58">
        <f ca="1">IFERROR(VLOOKUP(D41,תקציב!$B$17:$G$54,5,0),0)</f>
        <v>0</v>
      </c>
      <c r="R41" s="58">
        <f ca="1">IF(ISNUMBER(VLOOKUP(D41,תקציב!$B$17:$G$54,3,FALSE)),VLOOKUP(D41,תקציב!$B$17:$G$54,3,FALSE),1)</f>
        <v>1</v>
      </c>
      <c r="S41" s="58">
        <f t="shared" ca="1" si="4"/>
        <v>0</v>
      </c>
      <c r="T41" s="59">
        <f t="shared" ca="1" si="5"/>
        <v>0</v>
      </c>
      <c r="U41" s="208">
        <f ca="1">IFERROR(VLOOKUP(D41,תקציב!$B$17:$H$54,7,FALSE),0)-T41</f>
        <v>0</v>
      </c>
      <c r="Z41" s="88"/>
    </row>
    <row r="42" spans="3:26" ht="15" customHeight="1" x14ac:dyDescent="0.2">
      <c r="C42" s="48" t="str">
        <f t="shared" si="0"/>
        <v>תכניות/פרקים</v>
      </c>
      <c r="D42" s="60" t="str">
        <f>'מק"ט'!$C$8&amp;VLOOKUP(H42,'מק"ט'!$D$2:$E$9,2,FALSE)&amp;VLOOKUP(F42,'מק"ט'!$F$2:$G$11,2,FALSE)&amp;RIGHT(VLOOKUP(G42,'מק"ט'!H:I,2,FALSE),2)</f>
        <v>71110212</v>
      </c>
      <c r="E42" s="100" t="str">
        <f>RIGHT(VLOOKUP(G42,'מק"ט'!H:I,2,FALSE),2)</f>
        <v>12</v>
      </c>
      <c r="F42" s="83" t="s">
        <v>174</v>
      </c>
      <c r="G42" s="107" t="s">
        <v>245</v>
      </c>
      <c r="H42" s="62" t="s">
        <v>26</v>
      </c>
      <c r="I42" s="84"/>
      <c r="J42" s="84"/>
      <c r="K42" s="84"/>
      <c r="L42" s="78"/>
      <c r="M42" s="270">
        <f t="shared" si="3"/>
        <v>40</v>
      </c>
      <c r="P42" s="57">
        <f ca="1">IFERROR(VLOOKUP(D42,תקציב!$B$17:$G$54,6,0),0)</f>
        <v>0</v>
      </c>
      <c r="Q42" s="58">
        <f ca="1">IFERROR(VLOOKUP(D42,תקציב!$B$17:$G$54,5,0),0)</f>
        <v>0</v>
      </c>
      <c r="R42" s="58">
        <f ca="1">IF(ISNUMBER(VLOOKUP(D42,תקציב!$B$17:$G$54,3,FALSE)),VLOOKUP(D42,תקציב!$B$17:$G$54,3,FALSE),1)</f>
        <v>1</v>
      </c>
      <c r="S42" s="58">
        <f t="shared" ca="1" si="4"/>
        <v>0</v>
      </c>
      <c r="T42" s="59">
        <f t="shared" ca="1" si="5"/>
        <v>0</v>
      </c>
      <c r="U42" s="208">
        <f ca="1">IFERROR(VLOOKUP(D42,תקציב!$B$17:$H$54,7,FALSE),0)-T42</f>
        <v>0</v>
      </c>
      <c r="Z42" s="88"/>
    </row>
    <row r="43" spans="3:26" ht="15" customHeight="1" x14ac:dyDescent="0.2">
      <c r="C43" s="48" t="str">
        <f t="shared" si="0"/>
        <v>ימים</v>
      </c>
      <c r="D43" s="60" t="str">
        <f>'מק"ט'!$C$8&amp;VLOOKUP(H43,'מק"ט'!$D$2:$E$9,2,FALSE)&amp;VLOOKUP(F43,'מק"ט'!$F$2:$G$11,2,FALSE)&amp;RIGHT(VLOOKUP(G43,'מק"ט'!H:I,2,FALSE),2)</f>
        <v>71120212</v>
      </c>
      <c r="E43" s="100" t="str">
        <f>RIGHT(VLOOKUP(G43,'מק"ט'!H:I,2,FALSE),2)</f>
        <v>12</v>
      </c>
      <c r="F43" s="83" t="s">
        <v>174</v>
      </c>
      <c r="G43" s="107" t="s">
        <v>245</v>
      </c>
      <c r="H43" s="62" t="s">
        <v>22</v>
      </c>
      <c r="I43" s="84"/>
      <c r="J43" s="84"/>
      <c r="K43" s="84"/>
      <c r="L43" s="78"/>
      <c r="M43" s="270">
        <f t="shared" si="3"/>
        <v>40</v>
      </c>
      <c r="P43" s="57">
        <f ca="1">IFERROR(VLOOKUP(D43,תקציב!$B$17:$G$54,6,0),0)</f>
        <v>0</v>
      </c>
      <c r="Q43" s="58">
        <f ca="1">IFERROR(VLOOKUP(D43,תקציב!$B$17:$G$54,5,0),0)</f>
        <v>0</v>
      </c>
      <c r="R43" s="58">
        <f ca="1">IF(ISNUMBER(VLOOKUP(D43,תקציב!$B$17:$G$54,3,FALSE)),VLOOKUP(D43,תקציב!$B$17:$G$54,3,FALSE),1)</f>
        <v>1</v>
      </c>
      <c r="S43" s="58">
        <f t="shared" ca="1" si="4"/>
        <v>0</v>
      </c>
      <c r="T43" s="59">
        <f t="shared" ca="1" si="5"/>
        <v>0</v>
      </c>
      <c r="U43" s="208">
        <f ca="1">IFERROR(VLOOKUP(D43,תקציב!$B$17:$H$54,7,FALSE),0)-T43</f>
        <v>0</v>
      </c>
      <c r="Z43" s="88"/>
    </row>
    <row r="44" spans="3:26" ht="15" customHeight="1" x14ac:dyDescent="0.2">
      <c r="C44" s="48" t="str">
        <f t="shared" si="0"/>
        <v>שבועות</v>
      </c>
      <c r="D44" s="60" t="str">
        <f>'מק"ט'!$C$8&amp;VLOOKUP(H44,'מק"ט'!$D$2:$E$9,2,FALSE)&amp;VLOOKUP(F44,'מק"ט'!$F$2:$G$11,2,FALSE)&amp;RIGHT(VLOOKUP(G44,'מק"ט'!H:I,2,FALSE),2)</f>
        <v>71130212</v>
      </c>
      <c r="E44" s="100" t="str">
        <f>RIGHT(VLOOKUP(G44,'מק"ט'!H:I,2,FALSE),2)</f>
        <v>12</v>
      </c>
      <c r="F44" s="83" t="s">
        <v>174</v>
      </c>
      <c r="G44" s="107" t="s">
        <v>245</v>
      </c>
      <c r="H44" s="62" t="s">
        <v>27</v>
      </c>
      <c r="I44" s="84"/>
      <c r="J44" s="84"/>
      <c r="K44" s="84"/>
      <c r="L44" s="78"/>
      <c r="M44" s="270">
        <f t="shared" si="3"/>
        <v>40</v>
      </c>
      <c r="P44" s="57">
        <f ca="1">IFERROR(VLOOKUP(D44,תקציב!$B$17:$G$54,6,0),0)</f>
        <v>0</v>
      </c>
      <c r="Q44" s="58">
        <f ca="1">IFERROR(VLOOKUP(D44,תקציב!$B$17:$G$54,5,0),0)</f>
        <v>0</v>
      </c>
      <c r="R44" s="58">
        <f ca="1">IF(ISNUMBER(VLOOKUP(D44,תקציב!$B$17:$G$54,3,FALSE)),VLOOKUP(D44,תקציב!$B$17:$G$54,3,FALSE),1)</f>
        <v>1</v>
      </c>
      <c r="S44" s="58">
        <f t="shared" ca="1" si="4"/>
        <v>0</v>
      </c>
      <c r="T44" s="59">
        <f t="shared" ca="1" si="5"/>
        <v>0</v>
      </c>
      <c r="U44" s="208">
        <f ca="1">IFERROR(VLOOKUP(D44,תקציב!$B$17:$H$54,7,FALSE),0)-T44</f>
        <v>0</v>
      </c>
      <c r="Z44" s="88"/>
    </row>
    <row r="45" spans="3:26" ht="15" customHeight="1" x14ac:dyDescent="0.2">
      <c r="C45" s="48" t="str">
        <f t="shared" si="0"/>
        <v>חודשים</v>
      </c>
      <c r="D45" s="60" t="str">
        <f>'מק"ט'!$C$8&amp;VLOOKUP(H45,'מק"ט'!$D$2:$E$9,2,FALSE)&amp;VLOOKUP(F45,'מק"ט'!$F$2:$G$11,2,FALSE)&amp;RIGHT(VLOOKUP(G45,'מק"ט'!H:I,2,FALSE),2)</f>
        <v>71140212</v>
      </c>
      <c r="E45" s="100" t="str">
        <f>RIGHT(VLOOKUP(G45,'מק"ט'!H:I,2,FALSE),2)</f>
        <v>12</v>
      </c>
      <c r="F45" s="83" t="s">
        <v>174</v>
      </c>
      <c r="G45" s="107" t="s">
        <v>245</v>
      </c>
      <c r="H45" s="62" t="s">
        <v>25</v>
      </c>
      <c r="I45" s="84"/>
      <c r="J45" s="84"/>
      <c r="K45" s="84"/>
      <c r="L45" s="78"/>
      <c r="M45" s="270">
        <f t="shared" si="3"/>
        <v>40</v>
      </c>
      <c r="P45" s="57">
        <f ca="1">IFERROR(VLOOKUP(D45,תקציב!$B$17:$G$54,6,0),0)</f>
        <v>0</v>
      </c>
      <c r="Q45" s="58">
        <f ca="1">IFERROR(VLOOKUP(D45,תקציב!$B$17:$G$54,5,0),0)</f>
        <v>0</v>
      </c>
      <c r="R45" s="58">
        <f ca="1">IF(ISNUMBER(VLOOKUP(D45,תקציב!$B$17:$G$54,3,FALSE)),VLOOKUP(D45,תקציב!$B$17:$G$54,3,FALSE),1)</f>
        <v>1</v>
      </c>
      <c r="S45" s="58">
        <f t="shared" ca="1" si="4"/>
        <v>0</v>
      </c>
      <c r="T45" s="59">
        <f t="shared" ca="1" si="5"/>
        <v>0</v>
      </c>
      <c r="U45" s="208">
        <f ca="1">IFERROR(VLOOKUP(D45,תקציב!$B$17:$H$54,7,FALSE),0)-T45</f>
        <v>0</v>
      </c>
      <c r="Z45" s="88"/>
    </row>
    <row r="46" spans="3:26" ht="15" customHeight="1" x14ac:dyDescent="0.2">
      <c r="C46" s="48" t="str">
        <f t="shared" si="0"/>
        <v>עונתי גלובלי</v>
      </c>
      <c r="D46" s="60" t="str">
        <f>'מק"ט'!$C$8&amp;VLOOKUP(H46,'מק"ט'!$D$2:$E$9,2,FALSE)&amp;VLOOKUP(F46,'מק"ט'!$F$2:$G$11,2,FALSE)&amp;RIGHT(VLOOKUP(G46,'מק"ט'!H:I,2,FALSE),2)</f>
        <v>71150212</v>
      </c>
      <c r="E46" s="100" t="str">
        <f>RIGHT(VLOOKUP(G46,'מק"ט'!H:I,2,FALSE),2)</f>
        <v>12</v>
      </c>
      <c r="F46" s="83" t="s">
        <v>174</v>
      </c>
      <c r="G46" s="107" t="s">
        <v>245</v>
      </c>
      <c r="H46" s="62" t="s">
        <v>24</v>
      </c>
      <c r="I46" s="84"/>
      <c r="J46" s="84"/>
      <c r="K46" s="84"/>
      <c r="L46" s="78"/>
      <c r="M46" s="270">
        <f t="shared" si="3"/>
        <v>40</v>
      </c>
      <c r="P46" s="57">
        <f ca="1">IFERROR(VLOOKUP(D46,תקציב!$B$17:$G$54,6,0),0)</f>
        <v>0</v>
      </c>
      <c r="Q46" s="58">
        <f ca="1">IFERROR(VLOOKUP(D46,תקציב!$B$17:$G$54,5,0),0)</f>
        <v>0</v>
      </c>
      <c r="R46" s="58">
        <f ca="1">IF(ISNUMBER(VLOOKUP(D46,תקציב!$B$17:$G$54,3,FALSE)),VLOOKUP(D46,תקציב!$B$17:$G$54,3,FALSE),1)</f>
        <v>1</v>
      </c>
      <c r="S46" s="58">
        <f t="shared" ca="1" si="4"/>
        <v>0</v>
      </c>
      <c r="T46" s="59">
        <f t="shared" ca="1" si="5"/>
        <v>0</v>
      </c>
      <c r="U46" s="208">
        <f ca="1">IFERROR(VLOOKUP(D46,תקציב!$B$17:$H$54,7,FALSE),0)-T46</f>
        <v>0</v>
      </c>
      <c r="Z46" s="88"/>
    </row>
    <row r="47" spans="3:26" ht="15" customHeight="1" x14ac:dyDescent="0.2">
      <c r="C47" s="48" t="str">
        <f t="shared" si="0"/>
        <v>תכניות/פרקים</v>
      </c>
      <c r="D47" s="209" t="str">
        <f>'מק"ט'!$C$8&amp;VLOOKUP(H47,'מק"ט'!$D$2:$E$9,2,FALSE)&amp;VLOOKUP(F47,'מק"ט'!$F$2:$G$11,2,FALSE)&amp;RIGHT(VLOOKUP(G47,'מק"ט'!H:I,2,FALSE),2)</f>
        <v>71110213</v>
      </c>
      <c r="E47" s="101" t="str">
        <f>RIGHT(VLOOKUP(G47,'מק"ט'!H:I,2,FALSE),2)</f>
        <v>13</v>
      </c>
      <c r="F47" s="86" t="s">
        <v>174</v>
      </c>
      <c r="G47" s="106" t="s">
        <v>246</v>
      </c>
      <c r="H47" s="67" t="s">
        <v>26</v>
      </c>
      <c r="I47" s="79"/>
      <c r="J47" s="79"/>
      <c r="K47" s="79"/>
      <c r="L47" s="76"/>
      <c r="M47" s="270">
        <f t="shared" si="3"/>
        <v>45</v>
      </c>
      <c r="P47" s="57">
        <f ca="1">IFERROR(VLOOKUP(D47,תקציב!$B$17:$G$54,6,0),0)</f>
        <v>0</v>
      </c>
      <c r="Q47" s="58">
        <f ca="1">IFERROR(VLOOKUP(D47,תקציב!$B$17:$G$54,5,0),0)</f>
        <v>0</v>
      </c>
      <c r="R47" s="58">
        <f ca="1">IF(ISNUMBER(VLOOKUP(D47,תקציב!$B$17:$G$54,3,FALSE)),VLOOKUP(D47,תקציב!$B$17:$G$54,3,FALSE),1)</f>
        <v>1</v>
      </c>
      <c r="S47" s="58">
        <f t="shared" ca="1" si="4"/>
        <v>0</v>
      </c>
      <c r="T47" s="59">
        <f t="shared" ca="1" si="5"/>
        <v>0</v>
      </c>
      <c r="U47" s="208">
        <f ca="1">IFERROR(VLOOKUP(D47,תקציב!$B$17:$H$54,7,FALSE),0)-T47</f>
        <v>0</v>
      </c>
      <c r="Z47" s="88"/>
    </row>
    <row r="48" spans="3:26" ht="15" customHeight="1" x14ac:dyDescent="0.2">
      <c r="C48" s="48" t="str">
        <f t="shared" si="0"/>
        <v>ימים</v>
      </c>
      <c r="D48" s="209" t="str">
        <f>'מק"ט'!$C$8&amp;VLOOKUP(H48,'מק"ט'!$D$2:$E$9,2,FALSE)&amp;VLOOKUP(F48,'מק"ט'!$F$2:$G$11,2,FALSE)&amp;RIGHT(VLOOKUP(G48,'מק"ט'!H:I,2,FALSE),2)</f>
        <v>71120213</v>
      </c>
      <c r="E48" s="101" t="str">
        <f>RIGHT(VLOOKUP(G48,'מק"ט'!H:I,2,FALSE),2)</f>
        <v>13</v>
      </c>
      <c r="F48" s="86" t="s">
        <v>174</v>
      </c>
      <c r="G48" s="106" t="s">
        <v>246</v>
      </c>
      <c r="H48" s="67" t="s">
        <v>22</v>
      </c>
      <c r="I48" s="79"/>
      <c r="J48" s="79"/>
      <c r="K48" s="79"/>
      <c r="L48" s="76"/>
      <c r="M48" s="270">
        <f t="shared" si="3"/>
        <v>45</v>
      </c>
      <c r="P48" s="57">
        <f ca="1">IFERROR(VLOOKUP(D48,תקציב!$B$17:$G$54,6,0),0)</f>
        <v>0</v>
      </c>
      <c r="Q48" s="58">
        <f ca="1">IFERROR(VLOOKUP(D48,תקציב!$B$17:$G$54,5,0),0)</f>
        <v>0</v>
      </c>
      <c r="R48" s="58">
        <f ca="1">IF(ISNUMBER(VLOOKUP(D48,תקציב!$B$17:$G$54,3,FALSE)),VLOOKUP(D48,תקציב!$B$17:$G$54,3,FALSE),1)</f>
        <v>1</v>
      </c>
      <c r="S48" s="58">
        <f t="shared" ca="1" si="4"/>
        <v>0</v>
      </c>
      <c r="T48" s="59">
        <f t="shared" ca="1" si="5"/>
        <v>0</v>
      </c>
      <c r="U48" s="208">
        <f ca="1">IFERROR(VLOOKUP(D48,תקציב!$B$17:$H$54,7,FALSE),0)-T48</f>
        <v>0</v>
      </c>
      <c r="Z48" s="88"/>
    </row>
    <row r="49" spans="3:26" ht="15" customHeight="1" x14ac:dyDescent="0.2">
      <c r="C49" s="48" t="str">
        <f t="shared" si="0"/>
        <v>שבועות</v>
      </c>
      <c r="D49" s="209" t="str">
        <f>'מק"ט'!$C$8&amp;VLOOKUP(H49,'מק"ט'!$D$2:$E$9,2,FALSE)&amp;VLOOKUP(F49,'מק"ט'!$F$2:$G$11,2,FALSE)&amp;RIGHT(VLOOKUP(G49,'מק"ט'!H:I,2,FALSE),2)</f>
        <v>71130213</v>
      </c>
      <c r="E49" s="101" t="str">
        <f>RIGHT(VLOOKUP(G49,'מק"ט'!H:I,2,FALSE),2)</f>
        <v>13</v>
      </c>
      <c r="F49" s="86" t="s">
        <v>174</v>
      </c>
      <c r="G49" s="106" t="s">
        <v>246</v>
      </c>
      <c r="H49" s="67" t="s">
        <v>27</v>
      </c>
      <c r="I49" s="79"/>
      <c r="J49" s="79"/>
      <c r="K49" s="79"/>
      <c r="L49" s="76"/>
      <c r="M49" s="270">
        <f t="shared" si="3"/>
        <v>45</v>
      </c>
      <c r="P49" s="57">
        <f ca="1">IFERROR(VLOOKUP(D49,תקציב!$B$17:$G$54,6,0),0)</f>
        <v>0</v>
      </c>
      <c r="Q49" s="58">
        <f ca="1">IFERROR(VLOOKUP(D49,תקציב!$B$17:$G$54,5,0),0)</f>
        <v>0</v>
      </c>
      <c r="R49" s="58">
        <f ca="1">IF(ISNUMBER(VLOOKUP(D49,תקציב!$B$17:$G$54,3,FALSE)),VLOOKUP(D49,תקציב!$B$17:$G$54,3,FALSE),1)</f>
        <v>1</v>
      </c>
      <c r="S49" s="58">
        <f t="shared" ca="1" si="4"/>
        <v>0</v>
      </c>
      <c r="T49" s="59">
        <f t="shared" ca="1" si="5"/>
        <v>0</v>
      </c>
      <c r="U49" s="208">
        <f ca="1">IFERROR(VLOOKUP(D49,תקציב!$B$17:$H$54,7,FALSE),0)-T49</f>
        <v>0</v>
      </c>
      <c r="Z49" s="88"/>
    </row>
    <row r="50" spans="3:26" ht="15" customHeight="1" x14ac:dyDescent="0.2">
      <c r="C50" s="48" t="str">
        <f t="shared" si="0"/>
        <v>חודשים</v>
      </c>
      <c r="D50" s="209" t="str">
        <f>'מק"ט'!$C$8&amp;VLOOKUP(H50,'מק"ט'!$D$2:$E$9,2,FALSE)&amp;VLOOKUP(F50,'מק"ט'!$F$2:$G$11,2,FALSE)&amp;RIGHT(VLOOKUP(G50,'מק"ט'!H:I,2,FALSE),2)</f>
        <v>71140213</v>
      </c>
      <c r="E50" s="101" t="str">
        <f>RIGHT(VLOOKUP(G50,'מק"ט'!H:I,2,FALSE),2)</f>
        <v>13</v>
      </c>
      <c r="F50" s="86" t="s">
        <v>174</v>
      </c>
      <c r="G50" s="106" t="s">
        <v>246</v>
      </c>
      <c r="H50" s="67" t="s">
        <v>25</v>
      </c>
      <c r="I50" s="79"/>
      <c r="J50" s="79"/>
      <c r="K50" s="79"/>
      <c r="L50" s="76"/>
      <c r="M50" s="270">
        <f t="shared" si="3"/>
        <v>45</v>
      </c>
      <c r="P50" s="57">
        <f ca="1">IFERROR(VLOOKUP(D50,תקציב!$B$17:$G$54,6,0),0)</f>
        <v>0</v>
      </c>
      <c r="Q50" s="58">
        <f ca="1">IFERROR(VLOOKUP(D50,תקציב!$B$17:$G$54,5,0),0)</f>
        <v>0</v>
      </c>
      <c r="R50" s="58">
        <f ca="1">IF(ISNUMBER(VLOOKUP(D50,תקציב!$B$17:$G$54,3,FALSE)),VLOOKUP(D50,תקציב!$B$17:$G$54,3,FALSE),1)</f>
        <v>1</v>
      </c>
      <c r="S50" s="58">
        <f t="shared" ca="1" si="4"/>
        <v>0</v>
      </c>
      <c r="T50" s="59">
        <f t="shared" ca="1" si="5"/>
        <v>0</v>
      </c>
      <c r="U50" s="208">
        <f ca="1">IFERROR(VLOOKUP(D50,תקציב!$B$17:$H$54,7,FALSE),0)-T50</f>
        <v>0</v>
      </c>
      <c r="Z50" s="88"/>
    </row>
    <row r="51" spans="3:26" ht="15" customHeight="1" x14ac:dyDescent="0.2">
      <c r="C51" s="48" t="str">
        <f t="shared" si="0"/>
        <v>עונתי גלובלי</v>
      </c>
      <c r="D51" s="209" t="str">
        <f>'מק"ט'!$C$8&amp;VLOOKUP(H51,'מק"ט'!$D$2:$E$9,2,FALSE)&amp;VLOOKUP(F51,'מק"ט'!$F$2:$G$11,2,FALSE)&amp;RIGHT(VLOOKUP(G51,'מק"ט'!H:I,2,FALSE),2)</f>
        <v>71150213</v>
      </c>
      <c r="E51" s="101" t="str">
        <f>RIGHT(VLOOKUP(G51,'מק"ט'!H:I,2,FALSE),2)</f>
        <v>13</v>
      </c>
      <c r="F51" s="86" t="s">
        <v>174</v>
      </c>
      <c r="G51" s="106" t="s">
        <v>246</v>
      </c>
      <c r="H51" s="67" t="s">
        <v>24</v>
      </c>
      <c r="I51" s="79"/>
      <c r="J51" s="79"/>
      <c r="K51" s="79"/>
      <c r="L51" s="76"/>
      <c r="M51" s="270">
        <f t="shared" si="3"/>
        <v>45</v>
      </c>
      <c r="P51" s="57">
        <f ca="1">IFERROR(VLOOKUP(D51,תקציב!$B$17:$G$54,6,0),0)</f>
        <v>0</v>
      </c>
      <c r="Q51" s="58">
        <f ca="1">IFERROR(VLOOKUP(D51,תקציב!$B$17:$G$54,5,0),0)</f>
        <v>0</v>
      </c>
      <c r="R51" s="58">
        <f ca="1">IF(ISNUMBER(VLOOKUP(D51,תקציב!$B$17:$G$54,3,FALSE)),VLOOKUP(D51,תקציב!$B$17:$G$54,3,FALSE),1)</f>
        <v>1</v>
      </c>
      <c r="S51" s="58">
        <f t="shared" ca="1" si="4"/>
        <v>0</v>
      </c>
      <c r="T51" s="59">
        <f t="shared" ca="1" si="5"/>
        <v>0</v>
      </c>
      <c r="U51" s="208">
        <f ca="1">IFERROR(VLOOKUP(D51,תקציב!$B$17:$H$54,7,FALSE),0)-T51</f>
        <v>0</v>
      </c>
      <c r="Z51" s="88"/>
    </row>
    <row r="52" spans="3:26" ht="15" customHeight="1" x14ac:dyDescent="0.2">
      <c r="C52" s="48" t="str">
        <f t="shared" si="0"/>
        <v>תכניות/פרקים</v>
      </c>
      <c r="D52" s="60" t="str">
        <f>'מק"ט'!$C$8&amp;VLOOKUP(H52,'מק"ט'!$D$2:$E$9,2,FALSE)&amp;VLOOKUP(F52,'מק"ט'!$F$2:$G$11,2,FALSE)&amp;RIGHT(VLOOKUP(G52,'מק"ט'!H:I,2,FALSE),2)</f>
        <v>71110214</v>
      </c>
      <c r="E52" s="100" t="str">
        <f>RIGHT(VLOOKUP(G52,'מק"ט'!H:I,2,FALSE),2)</f>
        <v>14</v>
      </c>
      <c r="F52" s="86" t="s">
        <v>174</v>
      </c>
      <c r="G52" s="97" t="s">
        <v>247</v>
      </c>
      <c r="H52" s="62" t="s">
        <v>26</v>
      </c>
      <c r="I52" s="84"/>
      <c r="J52" s="84"/>
      <c r="K52" s="84"/>
      <c r="L52" s="78"/>
      <c r="M52" s="270">
        <f t="shared" si="3"/>
        <v>50</v>
      </c>
      <c r="P52" s="57">
        <f ca="1">IFERROR(VLOOKUP(D52,תקציב!$B$17:$G$54,6,0),0)</f>
        <v>0</v>
      </c>
      <c r="Q52" s="58">
        <f ca="1">IFERROR(VLOOKUP(D52,תקציב!$B$17:$G$54,5,0),0)</f>
        <v>0</v>
      </c>
      <c r="R52" s="58">
        <f ca="1">IF(ISNUMBER(VLOOKUP(D52,תקציב!$B$17:$G$54,3,FALSE)),VLOOKUP(D52,תקציב!$B$17:$G$54,3,FALSE),1)</f>
        <v>1</v>
      </c>
      <c r="S52" s="58">
        <f t="shared" ca="1" si="4"/>
        <v>0</v>
      </c>
      <c r="T52" s="59">
        <f t="shared" ca="1" si="5"/>
        <v>0</v>
      </c>
      <c r="U52" s="208">
        <f ca="1">IFERROR(VLOOKUP(D52,תקציב!$B$17:$H$54,7,FALSE),0)-T52</f>
        <v>0</v>
      </c>
      <c r="Z52" s="88"/>
    </row>
    <row r="53" spans="3:26" ht="15" customHeight="1" x14ac:dyDescent="0.2">
      <c r="C53" s="48" t="str">
        <f t="shared" si="0"/>
        <v>ימים</v>
      </c>
      <c r="D53" s="60" t="str">
        <f>'מק"ט'!$C$8&amp;VLOOKUP(H53,'מק"ט'!$D$2:$E$9,2,FALSE)&amp;VLOOKUP(F53,'מק"ט'!$F$2:$G$11,2,FALSE)&amp;RIGHT(VLOOKUP(G53,'מק"ט'!H:I,2,FALSE),2)</f>
        <v>71120214</v>
      </c>
      <c r="E53" s="100" t="str">
        <f>RIGHT(VLOOKUP(G53,'מק"ט'!H:I,2,FALSE),2)</f>
        <v>14</v>
      </c>
      <c r="F53" s="86" t="s">
        <v>174</v>
      </c>
      <c r="G53" s="97" t="s">
        <v>247</v>
      </c>
      <c r="H53" s="62" t="s">
        <v>22</v>
      </c>
      <c r="I53" s="84"/>
      <c r="J53" s="84"/>
      <c r="K53" s="84"/>
      <c r="L53" s="78"/>
      <c r="M53" s="270">
        <f t="shared" si="3"/>
        <v>50</v>
      </c>
      <c r="P53" s="57">
        <f ca="1">IFERROR(VLOOKUP(D53,תקציב!$B$17:$G$54,6,0),0)</f>
        <v>0</v>
      </c>
      <c r="Q53" s="58">
        <f ca="1">IFERROR(VLOOKUP(D53,תקציב!$B$17:$G$54,5,0),0)</f>
        <v>0</v>
      </c>
      <c r="R53" s="58">
        <f ca="1">IF(ISNUMBER(VLOOKUP(D53,תקציב!$B$17:$G$54,3,FALSE)),VLOOKUP(D53,תקציב!$B$17:$G$54,3,FALSE),1)</f>
        <v>1</v>
      </c>
      <c r="S53" s="58">
        <f t="shared" ca="1" si="4"/>
        <v>0</v>
      </c>
      <c r="T53" s="59">
        <f t="shared" ca="1" si="5"/>
        <v>0</v>
      </c>
      <c r="U53" s="208">
        <f ca="1">IFERROR(VLOOKUP(D53,תקציב!$B$17:$H$54,7,FALSE),0)-T53</f>
        <v>0</v>
      </c>
      <c r="Z53" s="88"/>
    </row>
    <row r="54" spans="3:26" ht="15" customHeight="1" x14ac:dyDescent="0.2">
      <c r="C54" s="48" t="str">
        <f t="shared" si="0"/>
        <v>שבועות</v>
      </c>
      <c r="D54" s="60" t="str">
        <f>'מק"ט'!$C$8&amp;VLOOKUP(H54,'מק"ט'!$D$2:$E$9,2,FALSE)&amp;VLOOKUP(F54,'מק"ט'!$F$2:$G$11,2,FALSE)&amp;RIGHT(VLOOKUP(G54,'מק"ט'!H:I,2,FALSE),2)</f>
        <v>71130214</v>
      </c>
      <c r="E54" s="100" t="str">
        <f>RIGHT(VLOOKUP(G54,'מק"ט'!H:I,2,FALSE),2)</f>
        <v>14</v>
      </c>
      <c r="F54" s="86" t="s">
        <v>174</v>
      </c>
      <c r="G54" s="97" t="s">
        <v>247</v>
      </c>
      <c r="H54" s="62" t="s">
        <v>27</v>
      </c>
      <c r="I54" s="84"/>
      <c r="J54" s="84"/>
      <c r="K54" s="84"/>
      <c r="L54" s="78"/>
      <c r="M54" s="270">
        <f t="shared" si="3"/>
        <v>50</v>
      </c>
      <c r="P54" s="57">
        <f ca="1">IFERROR(VLOOKUP(D54,תקציב!$B$17:$G$54,6,0),0)</f>
        <v>0</v>
      </c>
      <c r="Q54" s="58">
        <f ca="1">IFERROR(VLOOKUP(D54,תקציב!$B$17:$G$54,5,0),0)</f>
        <v>0</v>
      </c>
      <c r="R54" s="58">
        <f ca="1">IF(ISNUMBER(VLOOKUP(D54,תקציב!$B$17:$G$54,3,FALSE)),VLOOKUP(D54,תקציב!$B$17:$G$54,3,FALSE),1)</f>
        <v>1</v>
      </c>
      <c r="S54" s="58">
        <f t="shared" ca="1" si="4"/>
        <v>0</v>
      </c>
      <c r="T54" s="59">
        <f t="shared" ca="1" si="5"/>
        <v>0</v>
      </c>
      <c r="U54" s="208">
        <f ca="1">IFERROR(VLOOKUP(D54,תקציב!$B$17:$H$54,7,FALSE),0)-T54</f>
        <v>0</v>
      </c>
      <c r="Z54" s="88"/>
    </row>
    <row r="55" spans="3:26" ht="15" customHeight="1" x14ac:dyDescent="0.2">
      <c r="C55" s="48" t="str">
        <f t="shared" si="0"/>
        <v>חודשים</v>
      </c>
      <c r="D55" s="60" t="str">
        <f>'מק"ט'!$C$8&amp;VLOOKUP(H55,'מק"ט'!$D$2:$E$9,2,FALSE)&amp;VLOOKUP(F55,'מק"ט'!$F$2:$G$11,2,FALSE)&amp;RIGHT(VLOOKUP(G55,'מק"ט'!H:I,2,FALSE),2)</f>
        <v>71140214</v>
      </c>
      <c r="E55" s="100" t="str">
        <f>RIGHT(VLOOKUP(G55,'מק"ט'!H:I,2,FALSE),2)</f>
        <v>14</v>
      </c>
      <c r="F55" s="86" t="s">
        <v>174</v>
      </c>
      <c r="G55" s="97" t="s">
        <v>247</v>
      </c>
      <c r="H55" s="62" t="s">
        <v>25</v>
      </c>
      <c r="I55" s="84"/>
      <c r="J55" s="84"/>
      <c r="K55" s="84"/>
      <c r="L55" s="78"/>
      <c r="M55" s="270">
        <f t="shared" si="3"/>
        <v>50</v>
      </c>
      <c r="P55" s="57">
        <f ca="1">IFERROR(VLOOKUP(D55,תקציב!$B$17:$G$54,6,0),0)</f>
        <v>0</v>
      </c>
      <c r="Q55" s="58">
        <f ca="1">IFERROR(VLOOKUP(D55,תקציב!$B$17:$G$54,5,0),0)</f>
        <v>0</v>
      </c>
      <c r="R55" s="58">
        <f ca="1">IF(ISNUMBER(VLOOKUP(D55,תקציב!$B$17:$G$54,3,FALSE)),VLOOKUP(D55,תקציב!$B$17:$G$54,3,FALSE),1)</f>
        <v>1</v>
      </c>
      <c r="S55" s="58">
        <f t="shared" ca="1" si="4"/>
        <v>0</v>
      </c>
      <c r="T55" s="59">
        <f t="shared" ca="1" si="5"/>
        <v>0</v>
      </c>
      <c r="U55" s="208">
        <f ca="1">IFERROR(VLOOKUP(D55,תקציב!$B$17:$H$54,7,FALSE),0)-T55</f>
        <v>0</v>
      </c>
      <c r="Z55" s="88"/>
    </row>
    <row r="56" spans="3:26" ht="15" customHeight="1" x14ac:dyDescent="0.2">
      <c r="C56" s="48" t="str">
        <f t="shared" si="0"/>
        <v>עונתי גלובלי</v>
      </c>
      <c r="D56" s="60" t="str">
        <f>'מק"ט'!$C$8&amp;VLOOKUP(H56,'מק"ט'!$D$2:$E$9,2,FALSE)&amp;VLOOKUP(F56,'מק"ט'!$F$2:$G$11,2,FALSE)&amp;RIGHT(VLOOKUP(G56,'מק"ט'!H:I,2,FALSE),2)</f>
        <v>71150214</v>
      </c>
      <c r="E56" s="100" t="str">
        <f>RIGHT(VLOOKUP(G56,'מק"ט'!H:I,2,FALSE),2)</f>
        <v>14</v>
      </c>
      <c r="F56" s="86" t="s">
        <v>174</v>
      </c>
      <c r="G56" s="97" t="s">
        <v>247</v>
      </c>
      <c r="H56" s="62" t="s">
        <v>24</v>
      </c>
      <c r="I56" s="84"/>
      <c r="J56" s="84"/>
      <c r="K56" s="84"/>
      <c r="L56" s="78"/>
      <c r="M56" s="270">
        <f t="shared" si="3"/>
        <v>50</v>
      </c>
      <c r="P56" s="57">
        <f ca="1">IFERROR(VLOOKUP(D56,תקציב!$B$17:$G$54,6,0),0)</f>
        <v>0</v>
      </c>
      <c r="Q56" s="58">
        <f ca="1">IFERROR(VLOOKUP(D56,תקציב!$B$17:$G$54,5,0),0)</f>
        <v>0</v>
      </c>
      <c r="R56" s="58">
        <f ca="1">IF(ISNUMBER(VLOOKUP(D56,תקציב!$B$17:$G$54,3,FALSE)),VLOOKUP(D56,תקציב!$B$17:$G$54,3,FALSE),1)</f>
        <v>1</v>
      </c>
      <c r="S56" s="58">
        <f t="shared" ca="1" si="4"/>
        <v>0</v>
      </c>
      <c r="T56" s="59">
        <f t="shared" ca="1" si="5"/>
        <v>0</v>
      </c>
      <c r="U56" s="208">
        <f ca="1">IFERROR(VLOOKUP(D56,תקציב!$B$17:$H$54,7,FALSE),0)-T56</f>
        <v>0</v>
      </c>
      <c r="Z56" s="88"/>
    </row>
    <row r="57" spans="3:26" ht="15" customHeight="1" x14ac:dyDescent="0.2">
      <c r="C57" s="48" t="str">
        <f t="shared" si="0"/>
        <v>תכניות/פרקים</v>
      </c>
      <c r="D57" s="209" t="str">
        <f>'מק"ט'!$C$8&amp;VLOOKUP(H57,'מק"ט'!$D$2:$E$9,2,FALSE)&amp;VLOOKUP(F57,'מק"ט'!$F$2:$G$11,2,FALSE)&amp;RIGHT(VLOOKUP(G57,'מק"ט'!H:I,2,FALSE),2)</f>
        <v>71110215</v>
      </c>
      <c r="E57" s="101" t="str">
        <f>RIGHT(VLOOKUP(G57,'מק"ט'!H:I,2,FALSE),2)</f>
        <v>15</v>
      </c>
      <c r="F57" s="86" t="s">
        <v>174</v>
      </c>
      <c r="G57" s="99" t="s">
        <v>254</v>
      </c>
      <c r="H57" s="67" t="s">
        <v>26</v>
      </c>
      <c r="I57" s="79"/>
      <c r="J57" s="79"/>
      <c r="K57" s="79"/>
      <c r="L57" s="76"/>
      <c r="M57" s="270">
        <f t="shared" si="3"/>
        <v>55</v>
      </c>
      <c r="P57" s="57">
        <f ca="1">IFERROR(VLOOKUP(D57,תקציב!$B$17:$G$54,6,0),0)</f>
        <v>0</v>
      </c>
      <c r="Q57" s="58">
        <f ca="1">IFERROR(VLOOKUP(D57,תקציב!$B$17:$G$54,5,0),0)</f>
        <v>0</v>
      </c>
      <c r="R57" s="58">
        <f ca="1">IF(ISNUMBER(VLOOKUP(D57,תקציב!$B$17:$G$54,3,FALSE)),VLOOKUP(D57,תקציב!$B$17:$G$54,3,FALSE),1)</f>
        <v>1</v>
      </c>
      <c r="S57" s="58">
        <f t="shared" ca="1" si="4"/>
        <v>0</v>
      </c>
      <c r="T57" s="59">
        <f t="shared" ca="1" si="5"/>
        <v>0</v>
      </c>
      <c r="U57" s="208">
        <f ca="1">IFERROR(VLOOKUP(D57,תקציב!$B$17:$H$54,7,FALSE),0)-T57</f>
        <v>0</v>
      </c>
      <c r="Z57" s="88"/>
    </row>
    <row r="58" spans="3:26" ht="15" customHeight="1" x14ac:dyDescent="0.2">
      <c r="C58" s="48" t="str">
        <f t="shared" si="0"/>
        <v>ימים</v>
      </c>
      <c r="D58" s="209" t="str">
        <f>'מק"ט'!$C$8&amp;VLOOKUP(H58,'מק"ט'!$D$2:$E$9,2,FALSE)&amp;VLOOKUP(F58,'מק"ט'!$F$2:$G$11,2,FALSE)&amp;RIGHT(VLOOKUP(G58,'מק"ט'!H:I,2,FALSE),2)</f>
        <v>71120215</v>
      </c>
      <c r="E58" s="101" t="str">
        <f>RIGHT(VLOOKUP(G58,'מק"ט'!H:I,2,FALSE),2)</f>
        <v>15</v>
      </c>
      <c r="F58" s="86" t="s">
        <v>174</v>
      </c>
      <c r="G58" s="99" t="s">
        <v>254</v>
      </c>
      <c r="H58" s="67" t="s">
        <v>22</v>
      </c>
      <c r="I58" s="79"/>
      <c r="J58" s="79"/>
      <c r="K58" s="79"/>
      <c r="L58" s="76"/>
      <c r="M58" s="270">
        <f t="shared" si="3"/>
        <v>55</v>
      </c>
      <c r="P58" s="57">
        <f ca="1">IFERROR(VLOOKUP(D58,תקציב!$B$17:$G$54,6,0),0)</f>
        <v>0</v>
      </c>
      <c r="Q58" s="58">
        <f ca="1">IFERROR(VLOOKUP(D58,תקציב!$B$17:$G$54,5,0),0)</f>
        <v>0</v>
      </c>
      <c r="R58" s="58">
        <f ca="1">IF(ISNUMBER(VLOOKUP(D58,תקציב!$B$17:$G$54,3,FALSE)),VLOOKUP(D58,תקציב!$B$17:$G$54,3,FALSE),1)</f>
        <v>1</v>
      </c>
      <c r="S58" s="58">
        <f t="shared" ca="1" si="4"/>
        <v>0</v>
      </c>
      <c r="T58" s="59">
        <f t="shared" ca="1" si="5"/>
        <v>0</v>
      </c>
      <c r="U58" s="208">
        <f ca="1">IFERROR(VLOOKUP(D58,תקציב!$B$17:$H$54,7,FALSE),0)-T58</f>
        <v>0</v>
      </c>
      <c r="Z58" s="88"/>
    </row>
    <row r="59" spans="3:26" ht="15" customHeight="1" x14ac:dyDescent="0.2">
      <c r="C59" s="48" t="str">
        <f t="shared" si="0"/>
        <v>שבועות</v>
      </c>
      <c r="D59" s="209" t="str">
        <f>'מק"ט'!$C$8&amp;VLOOKUP(H59,'מק"ט'!$D$2:$E$9,2,FALSE)&amp;VLOOKUP(F59,'מק"ט'!$F$2:$G$11,2,FALSE)&amp;RIGHT(VLOOKUP(G59,'מק"ט'!H:I,2,FALSE),2)</f>
        <v>71130215</v>
      </c>
      <c r="E59" s="101" t="str">
        <f>RIGHT(VLOOKUP(G59,'מק"ט'!H:I,2,FALSE),2)</f>
        <v>15</v>
      </c>
      <c r="F59" s="86" t="s">
        <v>174</v>
      </c>
      <c r="G59" s="99" t="s">
        <v>254</v>
      </c>
      <c r="H59" s="67" t="s">
        <v>27</v>
      </c>
      <c r="I59" s="79"/>
      <c r="J59" s="79"/>
      <c r="K59" s="79"/>
      <c r="L59" s="76"/>
      <c r="M59" s="270">
        <f t="shared" si="3"/>
        <v>55</v>
      </c>
      <c r="P59" s="57">
        <f ca="1">IFERROR(VLOOKUP(D59,תקציב!$B$17:$G$54,6,0),0)</f>
        <v>0</v>
      </c>
      <c r="Q59" s="58">
        <f ca="1">IFERROR(VLOOKUP(D59,תקציב!$B$17:$G$54,5,0),0)</f>
        <v>0</v>
      </c>
      <c r="R59" s="58">
        <f ca="1">IF(ISNUMBER(VLOOKUP(D59,תקציב!$B$17:$G$54,3,FALSE)),VLOOKUP(D59,תקציב!$B$17:$G$54,3,FALSE),1)</f>
        <v>1</v>
      </c>
      <c r="S59" s="58">
        <f t="shared" ca="1" si="4"/>
        <v>0</v>
      </c>
      <c r="T59" s="59">
        <f t="shared" ca="1" si="5"/>
        <v>0</v>
      </c>
      <c r="U59" s="208">
        <f ca="1">IFERROR(VLOOKUP(D59,תקציב!$B$17:$H$54,7,FALSE),0)-T59</f>
        <v>0</v>
      </c>
      <c r="Z59" s="88"/>
    </row>
    <row r="60" spans="3:26" ht="15" customHeight="1" x14ac:dyDescent="0.2">
      <c r="C60" s="48" t="str">
        <f t="shared" si="0"/>
        <v>חודשים</v>
      </c>
      <c r="D60" s="209" t="str">
        <f>'מק"ט'!$C$8&amp;VLOOKUP(H60,'מק"ט'!$D$2:$E$9,2,FALSE)&amp;VLOOKUP(F60,'מק"ט'!$F$2:$G$11,2,FALSE)&amp;RIGHT(VLOOKUP(G60,'מק"ט'!H:I,2,FALSE),2)</f>
        <v>71140215</v>
      </c>
      <c r="E60" s="101" t="str">
        <f>RIGHT(VLOOKUP(G60,'מק"ט'!H:I,2,FALSE),2)</f>
        <v>15</v>
      </c>
      <c r="F60" s="86" t="s">
        <v>174</v>
      </c>
      <c r="G60" s="99" t="s">
        <v>254</v>
      </c>
      <c r="H60" s="67" t="s">
        <v>25</v>
      </c>
      <c r="I60" s="79"/>
      <c r="J60" s="79"/>
      <c r="K60" s="79"/>
      <c r="L60" s="76"/>
      <c r="M60" s="270">
        <f t="shared" si="3"/>
        <v>55</v>
      </c>
      <c r="P60" s="57">
        <f ca="1">IFERROR(VLOOKUP(D60,תקציב!$B$17:$G$54,6,0),0)</f>
        <v>0</v>
      </c>
      <c r="Q60" s="58">
        <f ca="1">IFERROR(VLOOKUP(D60,תקציב!$B$17:$G$54,5,0),0)</f>
        <v>0</v>
      </c>
      <c r="R60" s="58">
        <f ca="1">IF(ISNUMBER(VLOOKUP(D60,תקציב!$B$17:$G$54,3,FALSE)),VLOOKUP(D60,תקציב!$B$17:$G$54,3,FALSE),1)</f>
        <v>1</v>
      </c>
      <c r="S60" s="58">
        <f t="shared" ca="1" si="4"/>
        <v>0</v>
      </c>
      <c r="T60" s="59">
        <f t="shared" ca="1" si="5"/>
        <v>0</v>
      </c>
      <c r="U60" s="208">
        <f ca="1">IFERROR(VLOOKUP(D60,תקציב!$B$17:$H$54,7,FALSE),0)-T60</f>
        <v>0</v>
      </c>
      <c r="Z60" s="88"/>
    </row>
    <row r="61" spans="3:26" ht="15" customHeight="1" thickBot="1" x14ac:dyDescent="0.25">
      <c r="C61" s="48" t="str">
        <f t="shared" si="0"/>
        <v>עונתי גלובלי</v>
      </c>
      <c r="D61" s="210" t="str">
        <f>'מק"ט'!$C$8&amp;VLOOKUP(H61,'מק"ט'!$D$2:$E$9,2,FALSE)&amp;VLOOKUP(F61,'מק"ט'!$F$2:$G$11,2,FALSE)&amp;RIGHT(VLOOKUP(G61,'מק"ט'!H:I,2,FALSE),2)</f>
        <v>71150215</v>
      </c>
      <c r="E61" s="249" t="str">
        <f>RIGHT(VLOOKUP(G61,'מק"ט'!H:I,2,FALSE),2)</f>
        <v>15</v>
      </c>
      <c r="F61" s="90" t="s">
        <v>174</v>
      </c>
      <c r="G61" s="254" t="s">
        <v>254</v>
      </c>
      <c r="H61" s="91" t="s">
        <v>24</v>
      </c>
      <c r="I61" s="92"/>
      <c r="J61" s="92"/>
      <c r="K61" s="92"/>
      <c r="L61" s="93"/>
      <c r="M61" s="270">
        <f t="shared" si="3"/>
        <v>55</v>
      </c>
      <c r="P61" s="57">
        <f ca="1">IFERROR(VLOOKUP(D61,תקציב!$B$17:$G$54,6,0),0)</f>
        <v>0</v>
      </c>
      <c r="Q61" s="58">
        <f ca="1">IFERROR(VLOOKUP(D61,תקציב!$B$17:$G$54,5,0),0)</f>
        <v>0</v>
      </c>
      <c r="R61" s="58">
        <f ca="1">IF(ISNUMBER(VLOOKUP(D61,תקציב!$B$17:$G$54,3,FALSE)),VLOOKUP(D61,תקציב!$B$17:$G$54,3,FALSE),1)</f>
        <v>1</v>
      </c>
      <c r="S61" s="58">
        <f t="shared" ca="1" si="4"/>
        <v>0</v>
      </c>
      <c r="T61" s="59">
        <f t="shared" ca="1" si="5"/>
        <v>0</v>
      </c>
      <c r="U61" s="208">
        <f ca="1">IFERROR(VLOOKUP(D61,תקציב!$B$17:$H$54,7,FALSE),0)-T61</f>
        <v>0</v>
      </c>
      <c r="Z61" s="88"/>
    </row>
    <row r="62" spans="3:26" ht="15" x14ac:dyDescent="0.2">
      <c r="C62" s="48" t="str">
        <f t="shared" si="0"/>
        <v>תכניות/פרקים</v>
      </c>
      <c r="D62" s="60" t="str">
        <f>'מק"ט'!$C$8&amp;VLOOKUP(H62,'מק"ט'!$D$2:$E$9,2,FALSE)&amp;VLOOKUP(F62,'מק"ט'!$F$2:$G$11,2,FALSE)&amp;RIGHT(VLOOKUP(G62,'מק"ט'!H:I,2,FALSE),2)</f>
        <v>71110500</v>
      </c>
      <c r="E62" s="100" t="str">
        <f>RIGHT(VLOOKUP(G62,'מק"ט'!H:I,2,FALSE),2)</f>
        <v>00</v>
      </c>
      <c r="F62" s="96" t="s">
        <v>152</v>
      </c>
      <c r="G62" s="97" t="s">
        <v>194</v>
      </c>
      <c r="H62" s="62" t="s">
        <v>26</v>
      </c>
      <c r="I62" s="62"/>
      <c r="J62" s="62"/>
      <c r="K62" s="84"/>
      <c r="L62" s="64"/>
      <c r="M62" s="270">
        <f t="shared" si="3"/>
        <v>60</v>
      </c>
      <c r="P62" s="57">
        <f ca="1">IFERROR(VLOOKUP(D62,תקציב!$B$17:$G$54,6,0),0)</f>
        <v>0</v>
      </c>
      <c r="Q62" s="58">
        <f ca="1">IFERROR(VLOOKUP(D62,תקציב!$B$17:$G$54,5,0),0)</f>
        <v>0</v>
      </c>
      <c r="R62" s="58">
        <f ca="1">IF(ISNUMBER(VLOOKUP(D62,תקציב!$B$17:$G$54,3,FALSE)),VLOOKUP(D62,תקציב!$B$17:$G$54,3,FALSE),1)</f>
        <v>1</v>
      </c>
      <c r="S62" s="58">
        <f t="shared" ca="1" si="4"/>
        <v>0</v>
      </c>
      <c r="T62" s="59">
        <f t="shared" ca="1" si="5"/>
        <v>0</v>
      </c>
      <c r="U62" s="208">
        <f ca="1">IFERROR(VLOOKUP(D62,תקציב!$B$17:$H$54,7,FALSE),0)-T62</f>
        <v>0</v>
      </c>
    </row>
    <row r="63" spans="3:26" ht="15" x14ac:dyDescent="0.2">
      <c r="C63" s="48" t="str">
        <f t="shared" si="0"/>
        <v>ימים</v>
      </c>
      <c r="D63" s="60" t="str">
        <f>'מק"ט'!$C$8&amp;VLOOKUP(H63,'מק"ט'!$D$2:$E$9,2,FALSE)&amp;VLOOKUP(F63,'מק"ט'!$F$2:$G$11,2,FALSE)&amp;RIGHT(VLOOKUP(G63,'מק"ט'!H:I,2,FALSE),2)</f>
        <v>71120500</v>
      </c>
      <c r="E63" s="100" t="str">
        <f>RIGHT(VLOOKUP(G63,'מק"ט'!H:I,2,FALSE),2)</f>
        <v>00</v>
      </c>
      <c r="F63" s="96" t="s">
        <v>152</v>
      </c>
      <c r="G63" s="97" t="s">
        <v>194</v>
      </c>
      <c r="H63" s="62" t="s">
        <v>22</v>
      </c>
      <c r="I63" s="62"/>
      <c r="J63" s="62"/>
      <c r="K63" s="84"/>
      <c r="L63" s="64"/>
      <c r="M63" s="270">
        <f t="shared" si="3"/>
        <v>60</v>
      </c>
      <c r="P63" s="57">
        <f ca="1">IFERROR(VLOOKUP(D63,תקציב!$B$17:$G$54,6,0),0)</f>
        <v>0</v>
      </c>
      <c r="Q63" s="58">
        <f ca="1">IFERROR(VLOOKUP(D63,תקציב!$B$17:$G$54,5,0),0)</f>
        <v>0</v>
      </c>
      <c r="R63" s="58">
        <f ca="1">IF(ISNUMBER(VLOOKUP(D63,תקציב!$B$17:$G$54,3,FALSE)),VLOOKUP(D63,תקציב!$B$17:$G$54,3,FALSE),1)</f>
        <v>1</v>
      </c>
      <c r="S63" s="58">
        <f t="shared" ca="1" si="4"/>
        <v>0</v>
      </c>
      <c r="T63" s="59">
        <f t="shared" ca="1" si="5"/>
        <v>0</v>
      </c>
      <c r="U63" s="208">
        <f ca="1">IFERROR(VLOOKUP(D63,תקציב!$B$17:$H$54,7,FALSE),0)-T63</f>
        <v>0</v>
      </c>
    </row>
    <row r="64" spans="3:26" ht="15" x14ac:dyDescent="0.2">
      <c r="C64" s="48" t="str">
        <f t="shared" si="0"/>
        <v>שבועות</v>
      </c>
      <c r="D64" s="60" t="str">
        <f>'מק"ט'!$C$8&amp;VLOOKUP(H64,'מק"ט'!$D$2:$E$9,2,FALSE)&amp;VLOOKUP(F64,'מק"ט'!$F$2:$G$11,2,FALSE)&amp;RIGHT(VLOOKUP(G64,'מק"ט'!H:I,2,FALSE),2)</f>
        <v>71130500</v>
      </c>
      <c r="E64" s="100" t="str">
        <f>RIGHT(VLOOKUP(G64,'מק"ט'!H:I,2,FALSE),2)</f>
        <v>00</v>
      </c>
      <c r="F64" s="96" t="s">
        <v>152</v>
      </c>
      <c r="G64" s="97" t="s">
        <v>194</v>
      </c>
      <c r="H64" s="62" t="s">
        <v>27</v>
      </c>
      <c r="I64" s="62"/>
      <c r="J64" s="62"/>
      <c r="K64" s="84"/>
      <c r="L64" s="64"/>
      <c r="M64" s="270">
        <f t="shared" si="3"/>
        <v>60</v>
      </c>
      <c r="P64" s="57">
        <f ca="1">IFERROR(VLOOKUP(D64,תקציב!$B$17:$G$54,6,0),0)</f>
        <v>0</v>
      </c>
      <c r="Q64" s="58">
        <f ca="1">IFERROR(VLOOKUP(D64,תקציב!$B$17:$G$54,5,0),0)</f>
        <v>0</v>
      </c>
      <c r="R64" s="58">
        <f ca="1">IF(ISNUMBER(VLOOKUP(D64,תקציב!$B$17:$G$54,3,FALSE)),VLOOKUP(D64,תקציב!$B$17:$G$54,3,FALSE),1)</f>
        <v>1</v>
      </c>
      <c r="S64" s="58">
        <f t="shared" ca="1" si="4"/>
        <v>0</v>
      </c>
      <c r="T64" s="59">
        <f t="shared" ca="1" si="5"/>
        <v>0</v>
      </c>
      <c r="U64" s="208">
        <f ca="1">IFERROR(VLOOKUP(D64,תקציב!$B$17:$H$54,7,FALSE),0)-T64</f>
        <v>0</v>
      </c>
    </row>
    <row r="65" spans="3:21" ht="15" x14ac:dyDescent="0.2">
      <c r="C65" s="48" t="str">
        <f t="shared" si="0"/>
        <v>חודשים</v>
      </c>
      <c r="D65" s="60" t="str">
        <f>'מק"ט'!$C$8&amp;VLOOKUP(H65,'מק"ט'!$D$2:$E$9,2,FALSE)&amp;VLOOKUP(F65,'מק"ט'!$F$2:$G$11,2,FALSE)&amp;RIGHT(VLOOKUP(G65,'מק"ט'!H:I,2,FALSE),2)</f>
        <v>71140500</v>
      </c>
      <c r="E65" s="100" t="str">
        <f>RIGHT(VLOOKUP(G65,'מק"ט'!H:I,2,FALSE),2)</f>
        <v>00</v>
      </c>
      <c r="F65" s="96" t="s">
        <v>152</v>
      </c>
      <c r="G65" s="97" t="s">
        <v>194</v>
      </c>
      <c r="H65" s="62" t="s">
        <v>25</v>
      </c>
      <c r="I65" s="62"/>
      <c r="J65" s="62"/>
      <c r="K65" s="84"/>
      <c r="L65" s="64"/>
      <c r="M65" s="270">
        <f t="shared" si="3"/>
        <v>60</v>
      </c>
      <c r="P65" s="57">
        <f ca="1">IFERROR(VLOOKUP(D65,תקציב!$B$17:$G$54,6,0),0)</f>
        <v>0</v>
      </c>
      <c r="Q65" s="58">
        <f ca="1">IFERROR(VLOOKUP(D65,תקציב!$B$17:$G$54,5,0),0)</f>
        <v>0</v>
      </c>
      <c r="R65" s="58">
        <f ca="1">IF(ISNUMBER(VLOOKUP(D65,תקציב!$B$17:$G$54,3,FALSE)),VLOOKUP(D65,תקציב!$B$17:$G$54,3,FALSE),1)</f>
        <v>1</v>
      </c>
      <c r="S65" s="58">
        <f t="shared" ca="1" si="4"/>
        <v>0</v>
      </c>
      <c r="T65" s="59">
        <f t="shared" ca="1" si="5"/>
        <v>0</v>
      </c>
      <c r="U65" s="208">
        <f ca="1">IFERROR(VLOOKUP(D65,תקציב!$B$17:$H$54,7,FALSE),0)-T65</f>
        <v>0</v>
      </c>
    </row>
    <row r="66" spans="3:21" ht="15" x14ac:dyDescent="0.2">
      <c r="C66" s="48" t="str">
        <f t="shared" ref="C66" si="6">H66</f>
        <v>עונתי גלובלי</v>
      </c>
      <c r="D66" s="60" t="str">
        <f>'מק"ט'!$C$8&amp;VLOOKUP(H66,'מק"ט'!$D$2:$E$9,2,FALSE)&amp;VLOOKUP(F66,'מק"ט'!$F$2:$G$11,2,FALSE)&amp;RIGHT(VLOOKUP(G66,'מק"ט'!H:I,2,FALSE),2)</f>
        <v>71150500</v>
      </c>
      <c r="E66" s="100" t="str">
        <f>RIGHT(VLOOKUP(G66,'מק"ט'!H:I,2,FALSE),2)</f>
        <v>00</v>
      </c>
      <c r="F66" s="96" t="s">
        <v>152</v>
      </c>
      <c r="G66" s="97" t="s">
        <v>194</v>
      </c>
      <c r="H66" s="62" t="s">
        <v>24</v>
      </c>
      <c r="I66" s="62"/>
      <c r="J66" s="62"/>
      <c r="K66" s="84"/>
      <c r="L66" s="64"/>
      <c r="M66" s="270">
        <f t="shared" si="3"/>
        <v>60</v>
      </c>
      <c r="P66" s="57">
        <f ca="1">IFERROR(VLOOKUP(D66,תקציב!$B$17:$G$54,6,0),0)</f>
        <v>0</v>
      </c>
      <c r="Q66" s="58">
        <f ca="1">IFERROR(VLOOKUP(D66,תקציב!$B$17:$G$54,5,0),0)</f>
        <v>0</v>
      </c>
      <c r="R66" s="58">
        <f ca="1">IF(ISNUMBER(VLOOKUP(D66,תקציב!$B$17:$G$54,3,FALSE)),VLOOKUP(D66,תקציב!$B$17:$G$54,3,FALSE),1)</f>
        <v>1</v>
      </c>
      <c r="S66" s="58">
        <f t="shared" ca="1" si="4"/>
        <v>0</v>
      </c>
      <c r="T66" s="59">
        <f t="shared" ca="1" si="5"/>
        <v>0</v>
      </c>
      <c r="U66" s="208">
        <f ca="1">IFERROR(VLOOKUP(D66,תקציב!$B$17:$H$54,7,FALSE),0)-T66</f>
        <v>0</v>
      </c>
    </row>
    <row r="67" spans="3:21" ht="15" x14ac:dyDescent="0.2">
      <c r="C67" s="48" t="str">
        <f t="shared" si="0"/>
        <v>תכניות/פרקים</v>
      </c>
      <c r="D67" s="209" t="str">
        <f>'מק"ט'!$C$8&amp;VLOOKUP(H67,'מק"ט'!$D$2:$E$9,2,FALSE)&amp;VLOOKUP(F67,'מק"ט'!$F$2:$G$11,2,FALSE)&amp;RIGHT(VLOOKUP(G67,'מק"ט'!H:I,2,FALSE),2)</f>
        <v>71110501</v>
      </c>
      <c r="E67" s="101" t="str">
        <f>RIGHT(VLOOKUP(G67,'מק"ט'!H:I,2,FALSE),2)</f>
        <v>01</v>
      </c>
      <c r="F67" s="98" t="s">
        <v>152</v>
      </c>
      <c r="G67" s="99" t="s">
        <v>195</v>
      </c>
      <c r="H67" s="67" t="s">
        <v>26</v>
      </c>
      <c r="I67" s="67"/>
      <c r="J67" s="67"/>
      <c r="K67" s="79"/>
      <c r="L67" s="69"/>
      <c r="M67" s="270">
        <f t="shared" ref="M67:M130" si="7">IF(G67=G66,M66,M66+5)</f>
        <v>65</v>
      </c>
      <c r="P67" s="57">
        <f ca="1">IFERROR(VLOOKUP(D67,תקציב!$B$17:$G$54,6,0),0)</f>
        <v>0</v>
      </c>
      <c r="Q67" s="58">
        <f ca="1">IFERROR(VLOOKUP(D67,תקציב!$B$17:$G$54,5,0),0)</f>
        <v>0</v>
      </c>
      <c r="R67" s="58">
        <f ca="1">IF(ISNUMBER(VLOOKUP(D67,תקציב!$B$17:$G$54,3,FALSE)),VLOOKUP(D67,תקציב!$B$17:$G$54,3,FALSE),1)</f>
        <v>1</v>
      </c>
      <c r="S67" s="58">
        <f t="shared" ref="S67:S130" ca="1" si="8">IFERROR((Q67*R67),0)</f>
        <v>0</v>
      </c>
      <c r="T67" s="59">
        <f t="shared" ref="T67:T130" ca="1" si="9">P67*S67</f>
        <v>0</v>
      </c>
      <c r="U67" s="208">
        <f ca="1">IFERROR(VLOOKUP(D67,תקציב!$B$17:$H$54,7,FALSE),0)-T67</f>
        <v>0</v>
      </c>
    </row>
    <row r="68" spans="3:21" ht="15" x14ac:dyDescent="0.2">
      <c r="C68" s="48" t="str">
        <f t="shared" ref="C68:C131" si="10">H68</f>
        <v>ימים</v>
      </c>
      <c r="D68" s="209" t="str">
        <f>'מק"ט'!$C$8&amp;VLOOKUP(H68,'מק"ט'!$D$2:$E$9,2,FALSE)&amp;VLOOKUP(F68,'מק"ט'!$F$2:$G$11,2,FALSE)&amp;RIGHT(VLOOKUP(G68,'מק"ט'!H:I,2,FALSE),2)</f>
        <v>71120501</v>
      </c>
      <c r="E68" s="101" t="str">
        <f>RIGHT(VLOOKUP(G68,'מק"ט'!H:I,2,FALSE),2)</f>
        <v>01</v>
      </c>
      <c r="F68" s="98" t="s">
        <v>152</v>
      </c>
      <c r="G68" s="99" t="s">
        <v>195</v>
      </c>
      <c r="H68" s="67" t="s">
        <v>22</v>
      </c>
      <c r="I68" s="67"/>
      <c r="J68" s="67"/>
      <c r="K68" s="79"/>
      <c r="L68" s="69"/>
      <c r="M68" s="270">
        <f t="shared" si="7"/>
        <v>65</v>
      </c>
      <c r="P68" s="57">
        <f ca="1">IFERROR(VLOOKUP(D68,תקציב!$B$17:$G$54,6,0),0)</f>
        <v>0</v>
      </c>
      <c r="Q68" s="58">
        <f ca="1">IFERROR(VLOOKUP(D68,תקציב!$B$17:$G$54,5,0),0)</f>
        <v>0</v>
      </c>
      <c r="R68" s="58">
        <f ca="1">IF(ISNUMBER(VLOOKUP(D68,תקציב!$B$17:$G$54,3,FALSE)),VLOOKUP(D68,תקציב!$B$17:$G$54,3,FALSE),1)</f>
        <v>1</v>
      </c>
      <c r="S68" s="58">
        <f t="shared" ca="1" si="8"/>
        <v>0</v>
      </c>
      <c r="T68" s="59">
        <f t="shared" ca="1" si="9"/>
        <v>0</v>
      </c>
      <c r="U68" s="208">
        <f ca="1">IFERROR(VLOOKUP(D68,תקציב!$B$17:$H$54,7,FALSE),0)-T68</f>
        <v>0</v>
      </c>
    </row>
    <row r="69" spans="3:21" ht="15" x14ac:dyDescent="0.2">
      <c r="C69" s="48" t="str">
        <f t="shared" si="10"/>
        <v>שבועות</v>
      </c>
      <c r="D69" s="209" t="str">
        <f>'מק"ט'!$C$8&amp;VLOOKUP(H69,'מק"ט'!$D$2:$E$9,2,FALSE)&amp;VLOOKUP(F69,'מק"ט'!$F$2:$G$11,2,FALSE)&amp;RIGHT(VLOOKUP(G69,'מק"ט'!H:I,2,FALSE),2)</f>
        <v>71130501</v>
      </c>
      <c r="E69" s="101" t="str">
        <f>RIGHT(VLOOKUP(G69,'מק"ט'!H:I,2,FALSE),2)</f>
        <v>01</v>
      </c>
      <c r="F69" s="98" t="s">
        <v>152</v>
      </c>
      <c r="G69" s="99" t="s">
        <v>195</v>
      </c>
      <c r="H69" s="67" t="s">
        <v>27</v>
      </c>
      <c r="I69" s="67"/>
      <c r="J69" s="67"/>
      <c r="K69" s="79"/>
      <c r="L69" s="69"/>
      <c r="M69" s="270">
        <f t="shared" si="7"/>
        <v>65</v>
      </c>
      <c r="P69" s="57">
        <f ca="1">IFERROR(VLOOKUP(D69,תקציב!$B$17:$G$54,6,0),0)</f>
        <v>0</v>
      </c>
      <c r="Q69" s="58">
        <f ca="1">IFERROR(VLOOKUP(D69,תקציב!$B$17:$G$54,5,0),0)</f>
        <v>0</v>
      </c>
      <c r="R69" s="58">
        <f ca="1">IF(ISNUMBER(VLOOKUP(D69,תקציב!$B$17:$G$54,3,FALSE)),VLOOKUP(D69,תקציב!$B$17:$G$54,3,FALSE),1)</f>
        <v>1</v>
      </c>
      <c r="S69" s="58">
        <f t="shared" ca="1" si="8"/>
        <v>0</v>
      </c>
      <c r="T69" s="59">
        <f t="shared" ca="1" si="9"/>
        <v>0</v>
      </c>
      <c r="U69" s="208">
        <f ca="1">IFERROR(VLOOKUP(D69,תקציב!$B$17:$H$54,7,FALSE),0)-T69</f>
        <v>0</v>
      </c>
    </row>
    <row r="70" spans="3:21" ht="15" x14ac:dyDescent="0.2">
      <c r="C70" s="48" t="str">
        <f t="shared" si="10"/>
        <v>חודשים</v>
      </c>
      <c r="D70" s="209" t="str">
        <f>'מק"ט'!$C$8&amp;VLOOKUP(H70,'מק"ט'!$D$2:$E$9,2,FALSE)&amp;VLOOKUP(F70,'מק"ט'!$F$2:$G$11,2,FALSE)&amp;RIGHT(VLOOKUP(G70,'מק"ט'!H:I,2,FALSE),2)</f>
        <v>71140501</v>
      </c>
      <c r="E70" s="101" t="str">
        <f>RIGHT(VLOOKUP(G70,'מק"ט'!H:I,2,FALSE),2)</f>
        <v>01</v>
      </c>
      <c r="F70" s="98" t="s">
        <v>152</v>
      </c>
      <c r="G70" s="99" t="s">
        <v>195</v>
      </c>
      <c r="H70" s="67" t="s">
        <v>25</v>
      </c>
      <c r="I70" s="67"/>
      <c r="J70" s="67"/>
      <c r="K70" s="79"/>
      <c r="L70" s="69"/>
      <c r="M70" s="270">
        <f t="shared" si="7"/>
        <v>65</v>
      </c>
      <c r="P70" s="57">
        <f ca="1">IFERROR(VLOOKUP(D70,תקציב!$B$17:$G$54,6,0),0)</f>
        <v>0</v>
      </c>
      <c r="Q70" s="58">
        <f ca="1">IFERROR(VLOOKUP(D70,תקציב!$B$17:$G$54,5,0),0)</f>
        <v>0</v>
      </c>
      <c r="R70" s="58">
        <f ca="1">IF(ISNUMBER(VLOOKUP(D70,תקציב!$B$17:$G$54,3,FALSE)),VLOOKUP(D70,תקציב!$B$17:$G$54,3,FALSE),1)</f>
        <v>1</v>
      </c>
      <c r="S70" s="58">
        <f t="shared" ca="1" si="8"/>
        <v>0</v>
      </c>
      <c r="T70" s="59">
        <f t="shared" ca="1" si="9"/>
        <v>0</v>
      </c>
      <c r="U70" s="208">
        <f ca="1">IFERROR(VLOOKUP(D70,תקציב!$B$17:$H$54,7,FALSE),0)-T70</f>
        <v>0</v>
      </c>
    </row>
    <row r="71" spans="3:21" ht="15" x14ac:dyDescent="0.2">
      <c r="C71" s="48" t="str">
        <f t="shared" si="10"/>
        <v>עונתי גלובלי</v>
      </c>
      <c r="D71" s="209" t="str">
        <f>'מק"ט'!$C$8&amp;VLOOKUP(H71,'מק"ט'!$D$2:$E$9,2,FALSE)&amp;VLOOKUP(F71,'מק"ט'!$F$2:$G$11,2,FALSE)&amp;RIGHT(VLOOKUP(G71,'מק"ט'!H:I,2,FALSE),2)</f>
        <v>71150501</v>
      </c>
      <c r="E71" s="101" t="str">
        <f>RIGHT(VLOOKUP(G71,'מק"ט'!H:I,2,FALSE),2)</f>
        <v>01</v>
      </c>
      <c r="F71" s="98" t="s">
        <v>152</v>
      </c>
      <c r="G71" s="99" t="s">
        <v>195</v>
      </c>
      <c r="H71" s="67" t="s">
        <v>24</v>
      </c>
      <c r="I71" s="67"/>
      <c r="J71" s="67"/>
      <c r="K71" s="79"/>
      <c r="L71" s="69"/>
      <c r="M71" s="270">
        <f t="shared" si="7"/>
        <v>65</v>
      </c>
      <c r="P71" s="57">
        <f ca="1">IFERROR(VLOOKUP(D71,תקציב!$B$17:$G$54,6,0),0)</f>
        <v>0</v>
      </c>
      <c r="Q71" s="58">
        <f ca="1">IFERROR(VLOOKUP(D71,תקציב!$B$17:$G$54,5,0),0)</f>
        <v>0</v>
      </c>
      <c r="R71" s="58">
        <f ca="1">IF(ISNUMBER(VLOOKUP(D71,תקציב!$B$17:$G$54,3,FALSE)),VLOOKUP(D71,תקציב!$B$17:$G$54,3,FALSE),1)</f>
        <v>1</v>
      </c>
      <c r="S71" s="58">
        <f t="shared" ca="1" si="8"/>
        <v>0</v>
      </c>
      <c r="T71" s="59">
        <f t="shared" ca="1" si="9"/>
        <v>0</v>
      </c>
      <c r="U71" s="208">
        <f ca="1">IFERROR(VLOOKUP(D71,תקציב!$B$17:$H$54,7,FALSE),0)-T71</f>
        <v>0</v>
      </c>
    </row>
    <row r="72" spans="3:21" ht="15" x14ac:dyDescent="0.2">
      <c r="C72" s="48" t="str">
        <f t="shared" si="10"/>
        <v>תכניות/פרקים</v>
      </c>
      <c r="D72" s="60" t="str">
        <f>'מק"ט'!$C$8&amp;VLOOKUP(H72,'מק"ט'!$D$2:$E$9,2,FALSE)&amp;VLOOKUP(F72,'מק"ט'!$F$2:$G$11,2,FALSE)&amp;RIGHT(VLOOKUP(G72,'מק"ט'!H:I,2,FALSE),2)</f>
        <v>71110502</v>
      </c>
      <c r="E72" s="100" t="str">
        <f>RIGHT(VLOOKUP(G72,'מק"ט'!H:I,2,FALSE),2)</f>
        <v>02</v>
      </c>
      <c r="F72" s="96" t="s">
        <v>152</v>
      </c>
      <c r="G72" s="97" t="s">
        <v>196</v>
      </c>
      <c r="H72" s="62" t="s">
        <v>26</v>
      </c>
      <c r="I72" s="62"/>
      <c r="J72" s="62"/>
      <c r="K72" s="84"/>
      <c r="L72" s="64"/>
      <c r="M72" s="270">
        <f t="shared" si="7"/>
        <v>70</v>
      </c>
      <c r="P72" s="57">
        <f ca="1">IFERROR(VLOOKUP(D72,תקציב!$B$17:$G$54,6,0),0)</f>
        <v>0</v>
      </c>
      <c r="Q72" s="58">
        <f ca="1">IFERROR(VLOOKUP(D72,תקציב!$B$17:$G$54,5,0),0)</f>
        <v>0</v>
      </c>
      <c r="R72" s="58">
        <f ca="1">IF(ISNUMBER(VLOOKUP(D72,תקציב!$B$17:$G$54,3,FALSE)),VLOOKUP(D72,תקציב!$B$17:$G$54,3,FALSE),1)</f>
        <v>1</v>
      </c>
      <c r="S72" s="58">
        <f t="shared" ca="1" si="8"/>
        <v>0</v>
      </c>
      <c r="T72" s="59">
        <f t="shared" ca="1" si="9"/>
        <v>0</v>
      </c>
      <c r="U72" s="208">
        <f ca="1">IFERROR(VLOOKUP(D72,תקציב!$B$17:$H$54,7,FALSE),0)-T72</f>
        <v>0</v>
      </c>
    </row>
    <row r="73" spans="3:21" ht="15" x14ac:dyDescent="0.2">
      <c r="C73" s="48" t="str">
        <f t="shared" si="10"/>
        <v>ימים</v>
      </c>
      <c r="D73" s="60" t="str">
        <f>'מק"ט'!$C$8&amp;VLOOKUP(H73,'מק"ט'!$D$2:$E$9,2,FALSE)&amp;VLOOKUP(F73,'מק"ט'!$F$2:$G$11,2,FALSE)&amp;RIGHT(VLOOKUP(G73,'מק"ט'!H:I,2,FALSE),2)</f>
        <v>71120502</v>
      </c>
      <c r="E73" s="100" t="str">
        <f>RIGHT(VLOOKUP(G73,'מק"ט'!H:I,2,FALSE),2)</f>
        <v>02</v>
      </c>
      <c r="F73" s="96" t="s">
        <v>152</v>
      </c>
      <c r="G73" s="97" t="s">
        <v>196</v>
      </c>
      <c r="H73" s="62" t="s">
        <v>22</v>
      </c>
      <c r="I73" s="62"/>
      <c r="J73" s="62"/>
      <c r="K73" s="84"/>
      <c r="L73" s="64"/>
      <c r="M73" s="270">
        <f t="shared" si="7"/>
        <v>70</v>
      </c>
      <c r="P73" s="57">
        <f ca="1">IFERROR(VLOOKUP(D73,תקציב!$B$17:$G$54,6,0),0)</f>
        <v>0</v>
      </c>
      <c r="Q73" s="58">
        <f ca="1">IFERROR(VLOOKUP(D73,תקציב!$B$17:$G$54,5,0),0)</f>
        <v>0</v>
      </c>
      <c r="R73" s="58">
        <f ca="1">IF(ISNUMBER(VLOOKUP(D73,תקציב!$B$17:$G$54,3,FALSE)),VLOOKUP(D73,תקציב!$B$17:$G$54,3,FALSE),1)</f>
        <v>1</v>
      </c>
      <c r="S73" s="58">
        <f t="shared" ca="1" si="8"/>
        <v>0</v>
      </c>
      <c r="T73" s="59">
        <f t="shared" ca="1" si="9"/>
        <v>0</v>
      </c>
      <c r="U73" s="208">
        <f ca="1">IFERROR(VLOOKUP(D73,תקציב!$B$17:$H$54,7,FALSE),0)-T73</f>
        <v>0</v>
      </c>
    </row>
    <row r="74" spans="3:21" ht="15" x14ac:dyDescent="0.2">
      <c r="C74" s="48" t="str">
        <f t="shared" si="10"/>
        <v>שבועות</v>
      </c>
      <c r="D74" s="60" t="str">
        <f>'מק"ט'!$C$8&amp;VLOOKUP(H74,'מק"ט'!$D$2:$E$9,2,FALSE)&amp;VLOOKUP(F74,'מק"ט'!$F$2:$G$11,2,FALSE)&amp;RIGHT(VLOOKUP(G74,'מק"ט'!H:I,2,FALSE),2)</f>
        <v>71130502</v>
      </c>
      <c r="E74" s="100" t="str">
        <f>RIGHT(VLOOKUP(G74,'מק"ט'!H:I,2,FALSE),2)</f>
        <v>02</v>
      </c>
      <c r="F74" s="96" t="s">
        <v>152</v>
      </c>
      <c r="G74" s="97" t="s">
        <v>196</v>
      </c>
      <c r="H74" s="62" t="s">
        <v>27</v>
      </c>
      <c r="I74" s="62"/>
      <c r="J74" s="62"/>
      <c r="K74" s="84"/>
      <c r="L74" s="64"/>
      <c r="M74" s="270">
        <f t="shared" si="7"/>
        <v>70</v>
      </c>
      <c r="P74" s="57">
        <f ca="1">IFERROR(VLOOKUP(D74,תקציב!$B$17:$G$54,6,0),0)</f>
        <v>0</v>
      </c>
      <c r="Q74" s="58">
        <f ca="1">IFERROR(VLOOKUP(D74,תקציב!$B$17:$G$54,5,0),0)</f>
        <v>0</v>
      </c>
      <c r="R74" s="58">
        <f ca="1">IF(ISNUMBER(VLOOKUP(D74,תקציב!$B$17:$G$54,3,FALSE)),VLOOKUP(D74,תקציב!$B$17:$G$54,3,FALSE),1)</f>
        <v>1</v>
      </c>
      <c r="S74" s="58">
        <f t="shared" ca="1" si="8"/>
        <v>0</v>
      </c>
      <c r="T74" s="59">
        <f t="shared" ca="1" si="9"/>
        <v>0</v>
      </c>
      <c r="U74" s="208">
        <f ca="1">IFERROR(VLOOKUP(D74,תקציב!$B$17:$H$54,7,FALSE),0)-T74</f>
        <v>0</v>
      </c>
    </row>
    <row r="75" spans="3:21" ht="15" x14ac:dyDescent="0.2">
      <c r="C75" s="48" t="str">
        <f t="shared" si="10"/>
        <v>חודשים</v>
      </c>
      <c r="D75" s="60" t="str">
        <f>'מק"ט'!$C$8&amp;VLOOKUP(H75,'מק"ט'!$D$2:$E$9,2,FALSE)&amp;VLOOKUP(F75,'מק"ט'!$F$2:$G$11,2,FALSE)&amp;RIGHT(VLOOKUP(G75,'מק"ט'!H:I,2,FALSE),2)</f>
        <v>71140502</v>
      </c>
      <c r="E75" s="100" t="str">
        <f>RIGHT(VLOOKUP(G75,'מק"ט'!H:I,2,FALSE),2)</f>
        <v>02</v>
      </c>
      <c r="F75" s="96" t="s">
        <v>152</v>
      </c>
      <c r="G75" s="97" t="s">
        <v>196</v>
      </c>
      <c r="H75" s="62" t="s">
        <v>25</v>
      </c>
      <c r="I75" s="62"/>
      <c r="J75" s="62"/>
      <c r="K75" s="84"/>
      <c r="L75" s="64"/>
      <c r="M75" s="270">
        <f t="shared" si="7"/>
        <v>70</v>
      </c>
      <c r="P75" s="57">
        <f ca="1">IFERROR(VLOOKUP(D75,תקציב!$B$17:$G$54,6,0),0)</f>
        <v>0</v>
      </c>
      <c r="Q75" s="58">
        <f ca="1">IFERROR(VLOOKUP(D75,תקציב!$B$17:$G$54,5,0),0)</f>
        <v>0</v>
      </c>
      <c r="R75" s="58">
        <f ca="1">IF(ISNUMBER(VLOOKUP(D75,תקציב!$B$17:$G$54,3,FALSE)),VLOOKUP(D75,תקציב!$B$17:$G$54,3,FALSE),1)</f>
        <v>1</v>
      </c>
      <c r="S75" s="58">
        <f t="shared" ca="1" si="8"/>
        <v>0</v>
      </c>
      <c r="T75" s="59">
        <f t="shared" ca="1" si="9"/>
        <v>0</v>
      </c>
      <c r="U75" s="208">
        <f ca="1">IFERROR(VLOOKUP(D75,תקציב!$B$17:$H$54,7,FALSE),0)-T75</f>
        <v>0</v>
      </c>
    </row>
    <row r="76" spans="3:21" ht="15" x14ac:dyDescent="0.2">
      <c r="C76" s="48" t="str">
        <f t="shared" si="10"/>
        <v>עונתי גלובלי</v>
      </c>
      <c r="D76" s="60" t="str">
        <f>'מק"ט'!$C$8&amp;VLOOKUP(H76,'מק"ט'!$D$2:$E$9,2,FALSE)&amp;VLOOKUP(F76,'מק"ט'!$F$2:$G$11,2,FALSE)&amp;RIGHT(VLOOKUP(G76,'מק"ט'!H:I,2,FALSE),2)</f>
        <v>71150502</v>
      </c>
      <c r="E76" s="100" t="str">
        <f>RIGHT(VLOOKUP(G76,'מק"ט'!H:I,2,FALSE),2)</f>
        <v>02</v>
      </c>
      <c r="F76" s="96" t="s">
        <v>152</v>
      </c>
      <c r="G76" s="97" t="s">
        <v>196</v>
      </c>
      <c r="H76" s="62" t="s">
        <v>24</v>
      </c>
      <c r="I76" s="62"/>
      <c r="J76" s="62"/>
      <c r="K76" s="84"/>
      <c r="L76" s="64"/>
      <c r="M76" s="270">
        <f t="shared" si="7"/>
        <v>70</v>
      </c>
      <c r="P76" s="57">
        <f ca="1">IFERROR(VLOOKUP(D76,תקציב!$B$17:$G$54,6,0),0)</f>
        <v>0</v>
      </c>
      <c r="Q76" s="58">
        <f ca="1">IFERROR(VLOOKUP(D76,תקציב!$B$17:$G$54,5,0),0)</f>
        <v>0</v>
      </c>
      <c r="R76" s="58">
        <f ca="1">IF(ISNUMBER(VLOOKUP(D76,תקציב!$B$17:$G$54,3,FALSE)),VLOOKUP(D76,תקציב!$B$17:$G$54,3,FALSE),1)</f>
        <v>1</v>
      </c>
      <c r="S76" s="58">
        <f t="shared" ca="1" si="8"/>
        <v>0</v>
      </c>
      <c r="T76" s="59">
        <f t="shared" ca="1" si="9"/>
        <v>0</v>
      </c>
      <c r="U76" s="208">
        <f ca="1">IFERROR(VLOOKUP(D76,תקציב!$B$17:$H$54,7,FALSE),0)-T76</f>
        <v>0</v>
      </c>
    </row>
    <row r="77" spans="3:21" ht="15" x14ac:dyDescent="0.2">
      <c r="C77" s="48" t="str">
        <f t="shared" si="10"/>
        <v>תכניות/פרקים</v>
      </c>
      <c r="D77" s="209" t="str">
        <f>'מק"ט'!$C$8&amp;VLOOKUP(H77,'מק"ט'!$D$2:$E$9,2,FALSE)&amp;VLOOKUP(F77,'מק"ט'!$F$2:$G$11,2,FALSE)&amp;RIGHT(VLOOKUP(G77,'מק"ט'!H:I,2,FALSE),2)</f>
        <v>71110504</v>
      </c>
      <c r="E77" s="101" t="str">
        <f>RIGHT(VLOOKUP(G77,'מק"ט'!H:I,2,FALSE),2)</f>
        <v>04</v>
      </c>
      <c r="F77" s="98" t="s">
        <v>152</v>
      </c>
      <c r="G77" s="99" t="s">
        <v>198</v>
      </c>
      <c r="H77" s="67" t="s">
        <v>26</v>
      </c>
      <c r="I77" s="67"/>
      <c r="J77" s="67"/>
      <c r="K77" s="79"/>
      <c r="L77" s="69"/>
      <c r="M77" s="270">
        <f t="shared" si="7"/>
        <v>75</v>
      </c>
      <c r="P77" s="57">
        <f ca="1">IFERROR(VLOOKUP(D77,תקציב!$B$17:$G$54,6,0),0)</f>
        <v>0</v>
      </c>
      <c r="Q77" s="58">
        <f ca="1">IFERROR(VLOOKUP(D77,תקציב!$B$17:$G$54,5,0),0)</f>
        <v>0</v>
      </c>
      <c r="R77" s="58">
        <f ca="1">IF(ISNUMBER(VLOOKUP(D77,תקציב!$B$17:$G$54,3,FALSE)),VLOOKUP(D77,תקציב!$B$17:$G$54,3,FALSE),1)</f>
        <v>1</v>
      </c>
      <c r="S77" s="58">
        <f t="shared" ca="1" si="8"/>
        <v>0</v>
      </c>
      <c r="T77" s="59">
        <f t="shared" ca="1" si="9"/>
        <v>0</v>
      </c>
      <c r="U77" s="208">
        <f ca="1">IFERROR(VLOOKUP(D77,תקציב!$B$17:$H$54,7,FALSE),0)-T77</f>
        <v>0</v>
      </c>
    </row>
    <row r="78" spans="3:21" ht="15" x14ac:dyDescent="0.2">
      <c r="C78" s="48" t="str">
        <f t="shared" si="10"/>
        <v>ימים</v>
      </c>
      <c r="D78" s="209" t="str">
        <f>'מק"ט'!$C$8&amp;VLOOKUP(H78,'מק"ט'!$D$2:$E$9,2,FALSE)&amp;VLOOKUP(F78,'מק"ט'!$F$2:$G$11,2,FALSE)&amp;RIGHT(VLOOKUP(G78,'מק"ט'!H:I,2,FALSE),2)</f>
        <v>71120504</v>
      </c>
      <c r="E78" s="101" t="str">
        <f>RIGHT(VLOOKUP(G78,'מק"ט'!H:I,2,FALSE),2)</f>
        <v>04</v>
      </c>
      <c r="F78" s="98" t="s">
        <v>152</v>
      </c>
      <c r="G78" s="99" t="s">
        <v>198</v>
      </c>
      <c r="H78" s="67" t="s">
        <v>22</v>
      </c>
      <c r="I78" s="67"/>
      <c r="J78" s="67"/>
      <c r="K78" s="79"/>
      <c r="L78" s="69"/>
      <c r="M78" s="270">
        <f t="shared" si="7"/>
        <v>75</v>
      </c>
      <c r="P78" s="57">
        <f ca="1">IFERROR(VLOOKUP(D78,תקציב!$B$17:$G$54,6,0),0)</f>
        <v>0</v>
      </c>
      <c r="Q78" s="58">
        <f ca="1">IFERROR(VLOOKUP(D78,תקציב!$B$17:$G$54,5,0),0)</f>
        <v>0</v>
      </c>
      <c r="R78" s="58">
        <f ca="1">IF(ISNUMBER(VLOOKUP(D78,תקציב!$B$17:$G$54,3,FALSE)),VLOOKUP(D78,תקציב!$B$17:$G$54,3,FALSE),1)</f>
        <v>1</v>
      </c>
      <c r="S78" s="58">
        <f t="shared" ca="1" si="8"/>
        <v>0</v>
      </c>
      <c r="T78" s="59">
        <f t="shared" ca="1" si="9"/>
        <v>0</v>
      </c>
      <c r="U78" s="208">
        <f ca="1">IFERROR(VLOOKUP(D78,תקציב!$B$17:$H$54,7,FALSE),0)-T78</f>
        <v>0</v>
      </c>
    </row>
    <row r="79" spans="3:21" ht="15" x14ac:dyDescent="0.2">
      <c r="C79" s="48" t="str">
        <f t="shared" si="10"/>
        <v>שבועות</v>
      </c>
      <c r="D79" s="209" t="str">
        <f>'מק"ט'!$C$8&amp;VLOOKUP(H79,'מק"ט'!$D$2:$E$9,2,FALSE)&amp;VLOOKUP(F79,'מק"ט'!$F$2:$G$11,2,FALSE)&amp;RIGHT(VLOOKUP(G79,'מק"ט'!H:I,2,FALSE),2)</f>
        <v>71130504</v>
      </c>
      <c r="E79" s="101" t="str">
        <f>RIGHT(VLOOKUP(G79,'מק"ט'!H:I,2,FALSE),2)</f>
        <v>04</v>
      </c>
      <c r="F79" s="98" t="s">
        <v>152</v>
      </c>
      <c r="G79" s="99" t="s">
        <v>198</v>
      </c>
      <c r="H79" s="67" t="s">
        <v>27</v>
      </c>
      <c r="I79" s="67"/>
      <c r="J79" s="67"/>
      <c r="K79" s="79"/>
      <c r="L79" s="69"/>
      <c r="M79" s="270">
        <f t="shared" si="7"/>
        <v>75</v>
      </c>
      <c r="P79" s="57">
        <f ca="1">IFERROR(VLOOKUP(D79,תקציב!$B$17:$G$54,6,0),0)</f>
        <v>0</v>
      </c>
      <c r="Q79" s="58">
        <f ca="1">IFERROR(VLOOKUP(D79,תקציב!$B$17:$G$54,5,0),0)</f>
        <v>0</v>
      </c>
      <c r="R79" s="58">
        <f ca="1">IF(ISNUMBER(VLOOKUP(D79,תקציב!$B$17:$G$54,3,FALSE)),VLOOKUP(D79,תקציב!$B$17:$G$54,3,FALSE),1)</f>
        <v>1</v>
      </c>
      <c r="S79" s="58">
        <f t="shared" ca="1" si="8"/>
        <v>0</v>
      </c>
      <c r="T79" s="59">
        <f t="shared" ca="1" si="9"/>
        <v>0</v>
      </c>
      <c r="U79" s="208">
        <f ca="1">IFERROR(VLOOKUP(D79,תקציב!$B$17:$H$54,7,FALSE),0)-T79</f>
        <v>0</v>
      </c>
    </row>
    <row r="80" spans="3:21" ht="15" x14ac:dyDescent="0.2">
      <c r="C80" s="48" t="str">
        <f t="shared" si="10"/>
        <v>חודשים</v>
      </c>
      <c r="D80" s="209" t="str">
        <f>'מק"ט'!$C$8&amp;VLOOKUP(H80,'מק"ט'!$D$2:$E$9,2,FALSE)&amp;VLOOKUP(F80,'מק"ט'!$F$2:$G$11,2,FALSE)&amp;RIGHT(VLOOKUP(G80,'מק"ט'!H:I,2,FALSE),2)</f>
        <v>71140504</v>
      </c>
      <c r="E80" s="101" t="str">
        <f>RIGHT(VLOOKUP(G80,'מק"ט'!H:I,2,FALSE),2)</f>
        <v>04</v>
      </c>
      <c r="F80" s="98" t="s">
        <v>152</v>
      </c>
      <c r="G80" s="99" t="s">
        <v>198</v>
      </c>
      <c r="H80" s="67" t="s">
        <v>25</v>
      </c>
      <c r="I80" s="67"/>
      <c r="J80" s="67"/>
      <c r="K80" s="79"/>
      <c r="L80" s="69"/>
      <c r="M80" s="270">
        <f t="shared" si="7"/>
        <v>75</v>
      </c>
      <c r="P80" s="57">
        <f ca="1">IFERROR(VLOOKUP(D80,תקציב!$B$17:$G$54,6,0),0)</f>
        <v>0</v>
      </c>
      <c r="Q80" s="58">
        <f ca="1">IFERROR(VLOOKUP(D80,תקציב!$B$17:$G$54,5,0),0)</f>
        <v>0</v>
      </c>
      <c r="R80" s="58">
        <f ca="1">IF(ISNUMBER(VLOOKUP(D80,תקציב!$B$17:$G$54,3,FALSE)),VLOOKUP(D80,תקציב!$B$17:$G$54,3,FALSE),1)</f>
        <v>1</v>
      </c>
      <c r="S80" s="58">
        <f t="shared" ca="1" si="8"/>
        <v>0</v>
      </c>
      <c r="T80" s="59">
        <f t="shared" ca="1" si="9"/>
        <v>0</v>
      </c>
      <c r="U80" s="208">
        <f ca="1">IFERROR(VLOOKUP(D80,תקציב!$B$17:$H$54,7,FALSE),0)-T80</f>
        <v>0</v>
      </c>
    </row>
    <row r="81" spans="3:21" ht="15" x14ac:dyDescent="0.2">
      <c r="C81" s="48" t="str">
        <f t="shared" si="10"/>
        <v>עונתי גלובלי</v>
      </c>
      <c r="D81" s="209" t="str">
        <f>'מק"ט'!$C$8&amp;VLOOKUP(H81,'מק"ט'!$D$2:$E$9,2,FALSE)&amp;VLOOKUP(F81,'מק"ט'!$F$2:$G$11,2,FALSE)&amp;RIGHT(VLOOKUP(G81,'מק"ט'!H:I,2,FALSE),2)</f>
        <v>71150504</v>
      </c>
      <c r="E81" s="101" t="str">
        <f>RIGHT(VLOOKUP(G81,'מק"ט'!H:I,2,FALSE),2)</f>
        <v>04</v>
      </c>
      <c r="F81" s="98" t="s">
        <v>152</v>
      </c>
      <c r="G81" s="99" t="s">
        <v>198</v>
      </c>
      <c r="H81" s="67" t="s">
        <v>24</v>
      </c>
      <c r="I81" s="67"/>
      <c r="J81" s="67"/>
      <c r="K81" s="79"/>
      <c r="L81" s="69"/>
      <c r="M81" s="270">
        <f t="shared" si="7"/>
        <v>75</v>
      </c>
      <c r="P81" s="57">
        <f ca="1">IFERROR(VLOOKUP(D81,תקציב!$B$17:$G$54,6,0),0)</f>
        <v>0</v>
      </c>
      <c r="Q81" s="58">
        <f ca="1">IFERROR(VLOOKUP(D81,תקציב!$B$17:$G$54,5,0),0)</f>
        <v>0</v>
      </c>
      <c r="R81" s="58">
        <f ca="1">IF(ISNUMBER(VLOOKUP(D81,תקציב!$B$17:$G$54,3,FALSE)),VLOOKUP(D81,תקציב!$B$17:$G$54,3,FALSE),1)</f>
        <v>1</v>
      </c>
      <c r="S81" s="58">
        <f t="shared" ca="1" si="8"/>
        <v>0</v>
      </c>
      <c r="T81" s="59">
        <f t="shared" ca="1" si="9"/>
        <v>0</v>
      </c>
      <c r="U81" s="208">
        <f ca="1">IFERROR(VLOOKUP(D81,תקציב!$B$17:$H$54,7,FALSE),0)-T81</f>
        <v>0</v>
      </c>
    </row>
    <row r="82" spans="3:21" ht="15" x14ac:dyDescent="0.2">
      <c r="C82" s="48" t="str">
        <f t="shared" si="10"/>
        <v>תכניות/פרקים</v>
      </c>
      <c r="D82" s="60" t="str">
        <f>'מק"ט'!$C$8&amp;VLOOKUP(H82,'מק"ט'!$D$2:$E$9,2,FALSE)&amp;VLOOKUP(F82,'מק"ט'!$F$2:$G$11,2,FALSE)&amp;RIGHT(VLOOKUP(G82,'מק"ט'!H:I,2,FALSE),2)</f>
        <v>71110513</v>
      </c>
      <c r="E82" s="100" t="str">
        <f>RIGHT(VLOOKUP(G82,'מק"ט'!H:I,2,FALSE),2)</f>
        <v>13</v>
      </c>
      <c r="F82" s="96" t="s">
        <v>152</v>
      </c>
      <c r="G82" s="97" t="s">
        <v>250</v>
      </c>
      <c r="H82" s="62" t="s">
        <v>26</v>
      </c>
      <c r="I82" s="255"/>
      <c r="J82" s="255"/>
      <c r="K82" s="255"/>
      <c r="L82" s="256"/>
      <c r="M82" s="270">
        <f t="shared" si="7"/>
        <v>80</v>
      </c>
      <c r="P82" s="57">
        <f ca="1">IFERROR(VLOOKUP(D82,תקציב!$B$17:$G$54,6,0),0)</f>
        <v>0</v>
      </c>
      <c r="Q82" s="58">
        <f ca="1">IFERROR(VLOOKUP(D82,תקציב!$B$17:$G$54,5,0),0)</f>
        <v>0</v>
      </c>
      <c r="R82" s="58">
        <f ca="1">IF(ISNUMBER(VLOOKUP(D82,תקציב!$B$17:$G$54,3,FALSE)),VLOOKUP(D82,תקציב!$B$17:$G$54,3,FALSE),1)</f>
        <v>1</v>
      </c>
      <c r="S82" s="58">
        <f t="shared" ca="1" si="8"/>
        <v>0</v>
      </c>
      <c r="T82" s="59">
        <f t="shared" ca="1" si="9"/>
        <v>0</v>
      </c>
      <c r="U82" s="208">
        <f ca="1">IFERROR(VLOOKUP(D82,תקציב!$B$17:$H$54,7,FALSE),0)-T82</f>
        <v>0</v>
      </c>
    </row>
    <row r="83" spans="3:21" ht="15" x14ac:dyDescent="0.2">
      <c r="C83" s="48" t="str">
        <f t="shared" si="10"/>
        <v>ימים</v>
      </c>
      <c r="D83" s="60" t="str">
        <f>'מק"ט'!$C$8&amp;VLOOKUP(H83,'מק"ט'!$D$2:$E$9,2,FALSE)&amp;VLOOKUP(F83,'מק"ט'!$F$2:$G$11,2,FALSE)&amp;RIGHT(VLOOKUP(G83,'מק"ט'!H:I,2,FALSE),2)</f>
        <v>71120513</v>
      </c>
      <c r="E83" s="100" t="str">
        <f>RIGHT(VLOOKUP(G83,'מק"ט'!H:I,2,FALSE),2)</f>
        <v>13</v>
      </c>
      <c r="F83" s="96" t="s">
        <v>152</v>
      </c>
      <c r="G83" s="97" t="s">
        <v>250</v>
      </c>
      <c r="H83" s="62" t="s">
        <v>22</v>
      </c>
      <c r="I83" s="255"/>
      <c r="J83" s="255"/>
      <c r="K83" s="255"/>
      <c r="L83" s="256"/>
      <c r="M83" s="270">
        <f t="shared" si="7"/>
        <v>80</v>
      </c>
      <c r="P83" s="57">
        <f ca="1">IFERROR(VLOOKUP(D83,תקציב!$B$17:$G$54,6,0),0)</f>
        <v>0</v>
      </c>
      <c r="Q83" s="58">
        <f ca="1">IFERROR(VLOOKUP(D83,תקציב!$B$17:$G$54,5,0),0)</f>
        <v>0</v>
      </c>
      <c r="R83" s="58">
        <f ca="1">IF(ISNUMBER(VLOOKUP(D83,תקציב!$B$17:$G$54,3,FALSE)),VLOOKUP(D83,תקציב!$B$17:$G$54,3,FALSE),1)</f>
        <v>1</v>
      </c>
      <c r="S83" s="58">
        <f t="shared" ca="1" si="8"/>
        <v>0</v>
      </c>
      <c r="T83" s="59">
        <f t="shared" ca="1" si="9"/>
        <v>0</v>
      </c>
      <c r="U83" s="208">
        <f ca="1">IFERROR(VLOOKUP(D83,תקציב!$B$17:$H$54,7,FALSE),0)-T83</f>
        <v>0</v>
      </c>
    </row>
    <row r="84" spans="3:21" ht="15" x14ac:dyDescent="0.2">
      <c r="C84" s="48" t="str">
        <f t="shared" si="10"/>
        <v>שבועות</v>
      </c>
      <c r="D84" s="60" t="str">
        <f>'מק"ט'!$C$8&amp;VLOOKUP(H84,'מק"ט'!$D$2:$E$9,2,FALSE)&amp;VLOOKUP(F84,'מק"ט'!$F$2:$G$11,2,FALSE)&amp;RIGHT(VLOOKUP(G84,'מק"ט'!H:I,2,FALSE),2)</f>
        <v>71130513</v>
      </c>
      <c r="E84" s="100" t="str">
        <f>RIGHT(VLOOKUP(G84,'מק"ט'!H:I,2,FALSE),2)</f>
        <v>13</v>
      </c>
      <c r="F84" s="96" t="s">
        <v>152</v>
      </c>
      <c r="G84" s="97" t="s">
        <v>250</v>
      </c>
      <c r="H84" s="62" t="s">
        <v>27</v>
      </c>
      <c r="I84" s="255"/>
      <c r="J84" s="255"/>
      <c r="K84" s="255"/>
      <c r="L84" s="256"/>
      <c r="M84" s="270">
        <f t="shared" si="7"/>
        <v>80</v>
      </c>
      <c r="P84" s="57">
        <f ca="1">IFERROR(VLOOKUP(D84,תקציב!$B$17:$G$54,6,0),0)</f>
        <v>0</v>
      </c>
      <c r="Q84" s="58">
        <f ca="1">IFERROR(VLOOKUP(D84,תקציב!$B$17:$G$54,5,0),0)</f>
        <v>0</v>
      </c>
      <c r="R84" s="58">
        <f ca="1">IF(ISNUMBER(VLOOKUP(D84,תקציב!$B$17:$G$54,3,FALSE)),VLOOKUP(D84,תקציב!$B$17:$G$54,3,FALSE),1)</f>
        <v>1</v>
      </c>
      <c r="S84" s="58">
        <f t="shared" ca="1" si="8"/>
        <v>0</v>
      </c>
      <c r="T84" s="59">
        <f t="shared" ca="1" si="9"/>
        <v>0</v>
      </c>
      <c r="U84" s="208">
        <f ca="1">IFERROR(VLOOKUP(D84,תקציב!$B$17:$H$54,7,FALSE),0)-T84</f>
        <v>0</v>
      </c>
    </row>
    <row r="85" spans="3:21" ht="15" x14ac:dyDescent="0.2">
      <c r="C85" s="48" t="str">
        <f t="shared" si="10"/>
        <v>חודשים</v>
      </c>
      <c r="D85" s="60" t="str">
        <f>'מק"ט'!$C$8&amp;VLOOKUP(H85,'מק"ט'!$D$2:$E$9,2,FALSE)&amp;VLOOKUP(F85,'מק"ט'!$F$2:$G$11,2,FALSE)&amp;RIGHT(VLOOKUP(G85,'מק"ט'!H:I,2,FALSE),2)</f>
        <v>71140513</v>
      </c>
      <c r="E85" s="100" t="str">
        <f>RIGHT(VLOOKUP(G85,'מק"ט'!H:I,2,FALSE),2)</f>
        <v>13</v>
      </c>
      <c r="F85" s="96" t="s">
        <v>152</v>
      </c>
      <c r="G85" s="97" t="s">
        <v>250</v>
      </c>
      <c r="H85" s="62" t="s">
        <v>25</v>
      </c>
      <c r="I85" s="255"/>
      <c r="J85" s="255"/>
      <c r="K85" s="255"/>
      <c r="L85" s="256"/>
      <c r="M85" s="270">
        <f t="shared" si="7"/>
        <v>80</v>
      </c>
      <c r="P85" s="57">
        <f ca="1">IFERROR(VLOOKUP(D85,תקציב!$B$17:$G$54,6,0),0)</f>
        <v>0</v>
      </c>
      <c r="Q85" s="58">
        <f ca="1">IFERROR(VLOOKUP(D85,תקציב!$B$17:$G$54,5,0),0)</f>
        <v>0</v>
      </c>
      <c r="R85" s="58">
        <f ca="1">IF(ISNUMBER(VLOOKUP(D85,תקציב!$B$17:$G$54,3,FALSE)),VLOOKUP(D85,תקציב!$B$17:$G$54,3,FALSE),1)</f>
        <v>1</v>
      </c>
      <c r="S85" s="58">
        <f t="shared" ca="1" si="8"/>
        <v>0</v>
      </c>
      <c r="T85" s="59">
        <f t="shared" ca="1" si="9"/>
        <v>0</v>
      </c>
      <c r="U85" s="208">
        <f ca="1">IFERROR(VLOOKUP(D85,תקציב!$B$17:$H$54,7,FALSE),0)-T85</f>
        <v>0</v>
      </c>
    </row>
    <row r="86" spans="3:21" ht="15" x14ac:dyDescent="0.2">
      <c r="C86" s="48" t="str">
        <f t="shared" si="10"/>
        <v>עונתי גלובלי</v>
      </c>
      <c r="D86" s="60" t="str">
        <f>'מק"ט'!$C$8&amp;VLOOKUP(H86,'מק"ט'!$D$2:$E$9,2,FALSE)&amp;VLOOKUP(F86,'מק"ט'!$F$2:$G$11,2,FALSE)&amp;RIGHT(VLOOKUP(G86,'מק"ט'!H:I,2,FALSE),2)</f>
        <v>71150513</v>
      </c>
      <c r="E86" s="100" t="str">
        <f>RIGHT(VLOOKUP(G86,'מק"ט'!H:I,2,FALSE),2)</f>
        <v>13</v>
      </c>
      <c r="F86" s="96" t="s">
        <v>152</v>
      </c>
      <c r="G86" s="97" t="s">
        <v>250</v>
      </c>
      <c r="H86" s="62" t="s">
        <v>24</v>
      </c>
      <c r="I86" s="255"/>
      <c r="J86" s="255"/>
      <c r="K86" s="255"/>
      <c r="L86" s="256"/>
      <c r="M86" s="270">
        <f t="shared" si="7"/>
        <v>80</v>
      </c>
      <c r="P86" s="57">
        <f ca="1">IFERROR(VLOOKUP(D86,תקציב!$B$17:$G$54,6,0),0)</f>
        <v>0</v>
      </c>
      <c r="Q86" s="58">
        <f ca="1">IFERROR(VLOOKUP(D86,תקציב!$B$17:$G$54,5,0),0)</f>
        <v>0</v>
      </c>
      <c r="R86" s="58">
        <f ca="1">IF(ISNUMBER(VLOOKUP(D86,תקציב!$B$17:$G$54,3,FALSE)),VLOOKUP(D86,תקציב!$B$17:$G$54,3,FALSE),1)</f>
        <v>1</v>
      </c>
      <c r="S86" s="58">
        <f t="shared" ca="1" si="8"/>
        <v>0</v>
      </c>
      <c r="T86" s="59">
        <f t="shared" ca="1" si="9"/>
        <v>0</v>
      </c>
      <c r="U86" s="208">
        <f ca="1">IFERROR(VLOOKUP(D86,תקציב!$B$17:$H$54,7,FALSE),0)-T86</f>
        <v>0</v>
      </c>
    </row>
    <row r="87" spans="3:21" ht="15" x14ac:dyDescent="0.2">
      <c r="C87" s="48" t="str">
        <f t="shared" si="10"/>
        <v>תכניות/פרקים</v>
      </c>
      <c r="D87" s="209" t="str">
        <f>'מק"ט'!$C$8&amp;VLOOKUP(H87,'מק"ט'!$D$2:$E$9,2,FALSE)&amp;VLOOKUP(F87,'מק"ט'!$F$2:$G$11,2,FALSE)&amp;RIGHT(VLOOKUP(G87,'מק"ט'!H:I,2,FALSE),2)</f>
        <v>71110505</v>
      </c>
      <c r="E87" s="101" t="str">
        <f>RIGHT(VLOOKUP(G87,'מק"ט'!H:I,2,FALSE),2)</f>
        <v>05</v>
      </c>
      <c r="F87" s="98" t="s">
        <v>152</v>
      </c>
      <c r="G87" s="99" t="s">
        <v>199</v>
      </c>
      <c r="H87" s="67" t="s">
        <v>26</v>
      </c>
      <c r="I87" s="67"/>
      <c r="J87" s="67"/>
      <c r="K87" s="79"/>
      <c r="L87" s="69"/>
      <c r="M87" s="270">
        <f t="shared" si="7"/>
        <v>85</v>
      </c>
      <c r="P87" s="57">
        <f ca="1">IFERROR(VLOOKUP(D87,תקציב!$B$17:$G$54,6,0),0)</f>
        <v>0</v>
      </c>
      <c r="Q87" s="58">
        <f ca="1">IFERROR(VLOOKUP(D87,תקציב!$B$17:$G$54,5,0),0)</f>
        <v>0</v>
      </c>
      <c r="R87" s="58">
        <f ca="1">IF(ISNUMBER(VLOOKUP(D87,תקציב!$B$17:$G$54,3,FALSE)),VLOOKUP(D87,תקציב!$B$17:$G$54,3,FALSE),1)</f>
        <v>1</v>
      </c>
      <c r="S87" s="58">
        <f t="shared" ca="1" si="8"/>
        <v>0</v>
      </c>
      <c r="T87" s="59">
        <f t="shared" ca="1" si="9"/>
        <v>0</v>
      </c>
      <c r="U87" s="208">
        <f ca="1">IFERROR(VLOOKUP(D87,תקציב!$B$17:$H$54,7,FALSE),0)-T87</f>
        <v>0</v>
      </c>
    </row>
    <row r="88" spans="3:21" ht="15" x14ac:dyDescent="0.2">
      <c r="C88" s="48" t="str">
        <f t="shared" si="10"/>
        <v>ימים</v>
      </c>
      <c r="D88" s="209" t="str">
        <f>'מק"ט'!$C$8&amp;VLOOKUP(H88,'מק"ט'!$D$2:$E$9,2,FALSE)&amp;VLOOKUP(F88,'מק"ט'!$F$2:$G$11,2,FALSE)&amp;RIGHT(VLOOKUP(G88,'מק"ט'!H:I,2,FALSE),2)</f>
        <v>71120505</v>
      </c>
      <c r="E88" s="101" t="str">
        <f>RIGHT(VLOOKUP(G88,'מק"ט'!H:I,2,FALSE),2)</f>
        <v>05</v>
      </c>
      <c r="F88" s="98" t="s">
        <v>152</v>
      </c>
      <c r="G88" s="99" t="s">
        <v>199</v>
      </c>
      <c r="H88" s="67" t="s">
        <v>22</v>
      </c>
      <c r="I88" s="67"/>
      <c r="J88" s="67"/>
      <c r="K88" s="79"/>
      <c r="L88" s="69"/>
      <c r="M88" s="270">
        <f t="shared" si="7"/>
        <v>85</v>
      </c>
      <c r="P88" s="57">
        <f ca="1">IFERROR(VLOOKUP(D88,תקציב!$B$17:$G$54,6,0),0)</f>
        <v>0</v>
      </c>
      <c r="Q88" s="58">
        <f ca="1">IFERROR(VLOOKUP(D88,תקציב!$B$17:$G$54,5,0),0)</f>
        <v>0</v>
      </c>
      <c r="R88" s="58">
        <f ca="1">IF(ISNUMBER(VLOOKUP(D88,תקציב!$B$17:$G$54,3,FALSE)),VLOOKUP(D88,תקציב!$B$17:$G$54,3,FALSE),1)</f>
        <v>1</v>
      </c>
      <c r="S88" s="58">
        <f t="shared" ca="1" si="8"/>
        <v>0</v>
      </c>
      <c r="T88" s="59">
        <f t="shared" ca="1" si="9"/>
        <v>0</v>
      </c>
      <c r="U88" s="208">
        <f ca="1">IFERROR(VLOOKUP(D88,תקציב!$B$17:$H$54,7,FALSE),0)-T88</f>
        <v>0</v>
      </c>
    </row>
    <row r="89" spans="3:21" ht="15" x14ac:dyDescent="0.2">
      <c r="C89" s="48" t="str">
        <f t="shared" si="10"/>
        <v>שבועות</v>
      </c>
      <c r="D89" s="209" t="str">
        <f>'מק"ט'!$C$8&amp;VLOOKUP(H89,'מק"ט'!$D$2:$E$9,2,FALSE)&amp;VLOOKUP(F89,'מק"ט'!$F$2:$G$11,2,FALSE)&amp;RIGHT(VLOOKUP(G89,'מק"ט'!H:I,2,FALSE),2)</f>
        <v>71130505</v>
      </c>
      <c r="E89" s="101" t="str">
        <f>RIGHT(VLOOKUP(G89,'מק"ט'!H:I,2,FALSE),2)</f>
        <v>05</v>
      </c>
      <c r="F89" s="98" t="s">
        <v>152</v>
      </c>
      <c r="G89" s="99" t="s">
        <v>199</v>
      </c>
      <c r="H89" s="67" t="s">
        <v>27</v>
      </c>
      <c r="I89" s="67"/>
      <c r="J89" s="67"/>
      <c r="K89" s="79"/>
      <c r="L89" s="69"/>
      <c r="M89" s="270">
        <f t="shared" si="7"/>
        <v>85</v>
      </c>
      <c r="P89" s="57">
        <f ca="1">IFERROR(VLOOKUP(D89,תקציב!$B$17:$G$54,6,0),0)</f>
        <v>0</v>
      </c>
      <c r="Q89" s="58">
        <f ca="1">IFERROR(VLOOKUP(D89,תקציב!$B$17:$G$54,5,0),0)</f>
        <v>0</v>
      </c>
      <c r="R89" s="58">
        <f ca="1">IF(ISNUMBER(VLOOKUP(D89,תקציב!$B$17:$G$54,3,FALSE)),VLOOKUP(D89,תקציב!$B$17:$G$54,3,FALSE),1)</f>
        <v>1</v>
      </c>
      <c r="S89" s="58">
        <f t="shared" ca="1" si="8"/>
        <v>0</v>
      </c>
      <c r="T89" s="59">
        <f t="shared" ca="1" si="9"/>
        <v>0</v>
      </c>
      <c r="U89" s="208">
        <f ca="1">IFERROR(VLOOKUP(D89,תקציב!$B$17:$H$54,7,FALSE),0)-T89</f>
        <v>0</v>
      </c>
    </row>
    <row r="90" spans="3:21" ht="15" x14ac:dyDescent="0.2">
      <c r="C90" s="48" t="str">
        <f t="shared" si="10"/>
        <v>חודשים</v>
      </c>
      <c r="D90" s="209" t="str">
        <f>'מק"ט'!$C$8&amp;VLOOKUP(H90,'מק"ט'!$D$2:$E$9,2,FALSE)&amp;VLOOKUP(F90,'מק"ט'!$F$2:$G$11,2,FALSE)&amp;RIGHT(VLOOKUP(G90,'מק"ט'!H:I,2,FALSE),2)</f>
        <v>71140505</v>
      </c>
      <c r="E90" s="101" t="str">
        <f>RIGHT(VLOOKUP(G90,'מק"ט'!H:I,2,FALSE),2)</f>
        <v>05</v>
      </c>
      <c r="F90" s="98" t="s">
        <v>152</v>
      </c>
      <c r="G90" s="99" t="s">
        <v>199</v>
      </c>
      <c r="H90" s="67" t="s">
        <v>25</v>
      </c>
      <c r="I90" s="67"/>
      <c r="J90" s="67"/>
      <c r="K90" s="79"/>
      <c r="L90" s="69"/>
      <c r="M90" s="270">
        <f t="shared" si="7"/>
        <v>85</v>
      </c>
      <c r="P90" s="57">
        <f ca="1">IFERROR(VLOOKUP(D90,תקציב!$B$17:$G$54,6,0),0)</f>
        <v>0</v>
      </c>
      <c r="Q90" s="58">
        <f ca="1">IFERROR(VLOOKUP(D90,תקציב!$B$17:$G$54,5,0),0)</f>
        <v>0</v>
      </c>
      <c r="R90" s="58">
        <f ca="1">IF(ISNUMBER(VLOOKUP(D90,תקציב!$B$17:$G$54,3,FALSE)),VLOOKUP(D90,תקציב!$B$17:$G$54,3,FALSE),1)</f>
        <v>1</v>
      </c>
      <c r="S90" s="58">
        <f t="shared" ca="1" si="8"/>
        <v>0</v>
      </c>
      <c r="T90" s="59">
        <f t="shared" ca="1" si="9"/>
        <v>0</v>
      </c>
      <c r="U90" s="208">
        <f ca="1">IFERROR(VLOOKUP(D90,תקציב!$B$17:$H$54,7,FALSE),0)-T90</f>
        <v>0</v>
      </c>
    </row>
    <row r="91" spans="3:21" ht="15.75" thickBot="1" x14ac:dyDescent="0.25">
      <c r="C91" s="48" t="str">
        <f t="shared" si="10"/>
        <v>עונתי גלובלי</v>
      </c>
      <c r="D91" s="210" t="str">
        <f>'מק"ט'!$C$8&amp;VLOOKUP(H91,'מק"ט'!$D$2:$E$9,2,FALSE)&amp;VLOOKUP(F91,'מק"ט'!$F$2:$G$11,2,FALSE)&amp;RIGHT(VLOOKUP(G91,'מק"ט'!H:I,2,FALSE),2)</f>
        <v>71150505</v>
      </c>
      <c r="E91" s="249" t="str">
        <f>RIGHT(VLOOKUP(G91,'מק"ט'!H:I,2,FALSE),2)</f>
        <v>05</v>
      </c>
      <c r="F91" s="108" t="s">
        <v>152</v>
      </c>
      <c r="G91" s="254" t="s">
        <v>199</v>
      </c>
      <c r="H91" s="91" t="s">
        <v>24</v>
      </c>
      <c r="I91" s="91"/>
      <c r="J91" s="91"/>
      <c r="K91" s="92"/>
      <c r="L91" s="109"/>
      <c r="M91" s="270">
        <f t="shared" si="7"/>
        <v>85</v>
      </c>
      <c r="P91" s="57">
        <f ca="1">IFERROR(VLOOKUP(D91,תקציב!$B$17:$G$54,6,0),0)</f>
        <v>0</v>
      </c>
      <c r="Q91" s="58">
        <f ca="1">IFERROR(VLOOKUP(D91,תקציב!$B$17:$G$54,5,0),0)</f>
        <v>0</v>
      </c>
      <c r="R91" s="58">
        <f ca="1">IF(ISNUMBER(VLOOKUP(D91,תקציב!$B$17:$G$54,3,FALSE)),VLOOKUP(D91,תקציב!$B$17:$G$54,3,FALSE),1)</f>
        <v>1</v>
      </c>
      <c r="S91" s="58">
        <f t="shared" ca="1" si="8"/>
        <v>0</v>
      </c>
      <c r="T91" s="59">
        <f t="shared" ca="1" si="9"/>
        <v>0</v>
      </c>
      <c r="U91" s="208">
        <f ca="1">IFERROR(VLOOKUP(D91,תקציב!$B$17:$H$54,7,FALSE),0)-T91</f>
        <v>0</v>
      </c>
    </row>
    <row r="92" spans="3:21" ht="15" x14ac:dyDescent="0.2">
      <c r="C92" s="48" t="str">
        <f t="shared" si="10"/>
        <v>תכניות/פרקים</v>
      </c>
      <c r="D92" s="60" t="str">
        <f>'מק"ט'!$C$8&amp;VLOOKUP(H92,'מק"ט'!$D$2:$E$9,2,FALSE)&amp;VLOOKUP(F92,'מק"ט'!$F$2:$G$11,2,FALSE)&amp;RIGHT(VLOOKUP(G92,'מק"ט'!H:I,2,FALSE),2)</f>
        <v>71110617</v>
      </c>
      <c r="E92" s="74" t="str">
        <f>RIGHT(VLOOKUP(G92,'מק"ט'!H:I,2,FALSE),2)</f>
        <v>17</v>
      </c>
      <c r="F92" s="96" t="s">
        <v>106</v>
      </c>
      <c r="G92" s="105" t="s">
        <v>98</v>
      </c>
      <c r="H92" s="62" t="s">
        <v>26</v>
      </c>
      <c r="I92" s="62"/>
      <c r="J92" s="62"/>
      <c r="K92" s="84"/>
      <c r="L92" s="64"/>
      <c r="M92" s="270">
        <f t="shared" si="7"/>
        <v>90</v>
      </c>
      <c r="P92" s="57">
        <f ca="1">IFERROR(VLOOKUP(D92,תקציב!$B$17:$G$54,6,0),0)</f>
        <v>0</v>
      </c>
      <c r="Q92" s="58">
        <f ca="1">IFERROR(VLOOKUP(D92,תקציב!$B$17:$G$54,5,0),0)</f>
        <v>0</v>
      </c>
      <c r="R92" s="58">
        <f ca="1">IF(ISNUMBER(VLOOKUP(D92,תקציב!$B$17:$G$54,3,FALSE)),VLOOKUP(D92,תקציב!$B$17:$G$54,3,FALSE),1)</f>
        <v>1</v>
      </c>
      <c r="S92" s="58">
        <f t="shared" ca="1" si="8"/>
        <v>0</v>
      </c>
      <c r="T92" s="59">
        <f t="shared" ca="1" si="9"/>
        <v>0</v>
      </c>
      <c r="U92" s="208">
        <f ca="1">IFERROR(VLOOKUP(D92,תקציב!$B$17:$H$54,7,FALSE),0)-T92</f>
        <v>0</v>
      </c>
    </row>
    <row r="93" spans="3:21" ht="15" x14ac:dyDescent="0.2">
      <c r="C93" s="48" t="str">
        <f t="shared" si="10"/>
        <v>ימים</v>
      </c>
      <c r="D93" s="60" t="str">
        <f>'מק"ט'!$C$8&amp;VLOOKUP(H93,'מק"ט'!$D$2:$E$9,2,FALSE)&amp;VLOOKUP(F93,'מק"ט'!$F$2:$G$11,2,FALSE)&amp;RIGHT(VLOOKUP(G93,'מק"ט'!H:I,2,FALSE),2)</f>
        <v>71120617</v>
      </c>
      <c r="E93" s="74" t="str">
        <f>RIGHT(VLOOKUP(G93,'מק"ט'!H:I,2,FALSE),2)</f>
        <v>17</v>
      </c>
      <c r="F93" s="96" t="s">
        <v>106</v>
      </c>
      <c r="G93" s="105" t="s">
        <v>98</v>
      </c>
      <c r="H93" s="62" t="s">
        <v>22</v>
      </c>
      <c r="I93" s="62"/>
      <c r="J93" s="62"/>
      <c r="K93" s="84"/>
      <c r="L93" s="64"/>
      <c r="M93" s="270">
        <f t="shared" si="7"/>
        <v>90</v>
      </c>
      <c r="P93" s="57">
        <f ca="1">IFERROR(VLOOKUP(D93,תקציב!$B$17:$G$54,6,0),0)</f>
        <v>0</v>
      </c>
      <c r="Q93" s="58">
        <f ca="1">IFERROR(VLOOKUP(D93,תקציב!$B$17:$G$54,5,0),0)</f>
        <v>0</v>
      </c>
      <c r="R93" s="58">
        <f ca="1">IF(ISNUMBER(VLOOKUP(D93,תקציב!$B$17:$G$54,3,FALSE)),VLOOKUP(D93,תקציב!$B$17:$G$54,3,FALSE),1)</f>
        <v>1</v>
      </c>
      <c r="S93" s="58">
        <f t="shared" ca="1" si="8"/>
        <v>0</v>
      </c>
      <c r="T93" s="59">
        <f t="shared" ca="1" si="9"/>
        <v>0</v>
      </c>
      <c r="U93" s="208">
        <f ca="1">IFERROR(VLOOKUP(D93,תקציב!$B$17:$H$54,7,FALSE),0)-T93</f>
        <v>0</v>
      </c>
    </row>
    <row r="94" spans="3:21" ht="15" x14ac:dyDescent="0.2">
      <c r="C94" s="48" t="str">
        <f t="shared" si="10"/>
        <v>שבועות</v>
      </c>
      <c r="D94" s="60" t="str">
        <f>'מק"ט'!$C$8&amp;VLOOKUP(H94,'מק"ט'!$D$2:$E$9,2,FALSE)&amp;VLOOKUP(F94,'מק"ט'!$F$2:$G$11,2,FALSE)&amp;RIGHT(VLOOKUP(G94,'מק"ט'!H:I,2,FALSE),2)</f>
        <v>71130617</v>
      </c>
      <c r="E94" s="74" t="str">
        <f>RIGHT(VLOOKUP(G94,'מק"ט'!H:I,2,FALSE),2)</f>
        <v>17</v>
      </c>
      <c r="F94" s="96" t="s">
        <v>106</v>
      </c>
      <c r="G94" s="105" t="s">
        <v>98</v>
      </c>
      <c r="H94" s="62" t="s">
        <v>27</v>
      </c>
      <c r="I94" s="62"/>
      <c r="J94" s="62"/>
      <c r="K94" s="84"/>
      <c r="L94" s="64"/>
      <c r="M94" s="270">
        <f t="shared" si="7"/>
        <v>90</v>
      </c>
      <c r="P94" s="57">
        <f ca="1">IFERROR(VLOOKUP(D94,תקציב!$B$17:$G$54,6,0),0)</f>
        <v>0</v>
      </c>
      <c r="Q94" s="58">
        <f ca="1">IFERROR(VLOOKUP(D94,תקציב!$B$17:$G$54,5,0),0)</f>
        <v>0</v>
      </c>
      <c r="R94" s="58">
        <f ca="1">IF(ISNUMBER(VLOOKUP(D94,תקציב!$B$17:$G$54,3,FALSE)),VLOOKUP(D94,תקציב!$B$17:$G$54,3,FALSE),1)</f>
        <v>1</v>
      </c>
      <c r="S94" s="58">
        <f t="shared" ca="1" si="8"/>
        <v>0</v>
      </c>
      <c r="T94" s="59">
        <f t="shared" ca="1" si="9"/>
        <v>0</v>
      </c>
      <c r="U94" s="208">
        <f ca="1">IFERROR(VLOOKUP(D94,תקציב!$B$17:$H$54,7,FALSE),0)-T94</f>
        <v>0</v>
      </c>
    </row>
    <row r="95" spans="3:21" ht="15" x14ac:dyDescent="0.2">
      <c r="C95" s="48" t="str">
        <f t="shared" si="10"/>
        <v>חודשים</v>
      </c>
      <c r="D95" s="60" t="str">
        <f>'מק"ט'!$C$8&amp;VLOOKUP(H95,'מק"ט'!$D$2:$E$9,2,FALSE)&amp;VLOOKUP(F95,'מק"ט'!$F$2:$G$11,2,FALSE)&amp;RIGHT(VLOOKUP(G95,'מק"ט'!H:I,2,FALSE),2)</f>
        <v>71140617</v>
      </c>
      <c r="E95" s="74" t="str">
        <f>RIGHT(VLOOKUP(G95,'מק"ט'!H:I,2,FALSE),2)</f>
        <v>17</v>
      </c>
      <c r="F95" s="96" t="s">
        <v>106</v>
      </c>
      <c r="G95" s="105" t="s">
        <v>98</v>
      </c>
      <c r="H95" s="62" t="s">
        <v>25</v>
      </c>
      <c r="I95" s="62"/>
      <c r="J95" s="62"/>
      <c r="K95" s="84"/>
      <c r="L95" s="64"/>
      <c r="M95" s="270">
        <f t="shared" si="7"/>
        <v>90</v>
      </c>
      <c r="P95" s="57">
        <f ca="1">IFERROR(VLOOKUP(D95,תקציב!$B$17:$G$54,6,0),0)</f>
        <v>0</v>
      </c>
      <c r="Q95" s="58">
        <f ca="1">IFERROR(VLOOKUP(D95,תקציב!$B$17:$G$54,5,0),0)</f>
        <v>0</v>
      </c>
      <c r="R95" s="58">
        <f ca="1">IF(ISNUMBER(VLOOKUP(D95,תקציב!$B$17:$G$54,3,FALSE)),VLOOKUP(D95,תקציב!$B$17:$G$54,3,FALSE),1)</f>
        <v>1</v>
      </c>
      <c r="S95" s="58">
        <f t="shared" ca="1" si="8"/>
        <v>0</v>
      </c>
      <c r="T95" s="59">
        <f t="shared" ca="1" si="9"/>
        <v>0</v>
      </c>
      <c r="U95" s="208">
        <f ca="1">IFERROR(VLOOKUP(D95,תקציב!$B$17:$H$54,7,FALSE),0)-T95</f>
        <v>0</v>
      </c>
    </row>
    <row r="96" spans="3:21" ht="15" x14ac:dyDescent="0.2">
      <c r="C96" s="48" t="str">
        <f t="shared" si="10"/>
        <v>עונתי גלובלי</v>
      </c>
      <c r="D96" s="60" t="str">
        <f>'מק"ט'!$C$8&amp;VLOOKUP(H96,'מק"ט'!$D$2:$E$9,2,FALSE)&amp;VLOOKUP(F96,'מק"ט'!$F$2:$G$11,2,FALSE)&amp;RIGHT(VLOOKUP(G96,'מק"ט'!H:I,2,FALSE),2)</f>
        <v>71150617</v>
      </c>
      <c r="E96" s="74" t="str">
        <f>RIGHT(VLOOKUP(G96,'מק"ט'!H:I,2,FALSE),2)</f>
        <v>17</v>
      </c>
      <c r="F96" s="96" t="s">
        <v>106</v>
      </c>
      <c r="G96" s="105" t="s">
        <v>98</v>
      </c>
      <c r="H96" s="62" t="s">
        <v>24</v>
      </c>
      <c r="I96" s="62"/>
      <c r="J96" s="62"/>
      <c r="K96" s="84"/>
      <c r="L96" s="64"/>
      <c r="M96" s="270">
        <f t="shared" si="7"/>
        <v>90</v>
      </c>
      <c r="P96" s="57">
        <f ca="1">IFERROR(VLOOKUP(D96,תקציב!$B$17:$G$54,6,0),0)</f>
        <v>0</v>
      </c>
      <c r="Q96" s="58">
        <f ca="1">IFERROR(VLOOKUP(D96,תקציב!$B$17:$G$54,5,0),0)</f>
        <v>0</v>
      </c>
      <c r="R96" s="58">
        <f ca="1">IF(ISNUMBER(VLOOKUP(D96,תקציב!$B$17:$G$54,3,FALSE)),VLOOKUP(D96,תקציב!$B$17:$G$54,3,FALSE),1)</f>
        <v>1</v>
      </c>
      <c r="S96" s="58">
        <f t="shared" ca="1" si="8"/>
        <v>0</v>
      </c>
      <c r="T96" s="59">
        <f t="shared" ca="1" si="9"/>
        <v>0</v>
      </c>
      <c r="U96" s="208">
        <f ca="1">IFERROR(VLOOKUP(D96,תקציב!$B$17:$H$54,7,FALSE),0)-T96</f>
        <v>0</v>
      </c>
    </row>
    <row r="97" spans="3:21" ht="15" x14ac:dyDescent="0.2">
      <c r="C97" s="48" t="str">
        <f t="shared" si="10"/>
        <v>תכניות/פרקים</v>
      </c>
      <c r="D97" s="209" t="str">
        <f>'מק"ט'!$C$8&amp;VLOOKUP(H97,'מק"ט'!$D$2:$E$9,2,FALSE)&amp;VLOOKUP(F97,'מק"ט'!$F$2:$G$11,2,FALSE)&amp;RIGHT(VLOOKUP(G97,'מק"ט'!H:I,2,FALSE),2)</f>
        <v>71110618</v>
      </c>
      <c r="E97" s="65" t="str">
        <f>RIGHT(VLOOKUP(G97,'מק"ט'!H:I,2,FALSE),2)</f>
        <v>18</v>
      </c>
      <c r="F97" s="98" t="s">
        <v>106</v>
      </c>
      <c r="G97" s="104" t="s">
        <v>99</v>
      </c>
      <c r="H97" s="67" t="s">
        <v>26</v>
      </c>
      <c r="I97" s="67"/>
      <c r="J97" s="67"/>
      <c r="K97" s="79"/>
      <c r="L97" s="69"/>
      <c r="M97" s="270">
        <f t="shared" si="7"/>
        <v>95</v>
      </c>
      <c r="P97" s="57">
        <f ca="1">IFERROR(VLOOKUP(D97,תקציב!$B$17:$G$54,6,0),0)</f>
        <v>0</v>
      </c>
      <c r="Q97" s="58">
        <f ca="1">IFERROR(VLOOKUP(D97,תקציב!$B$17:$G$54,5,0),0)</f>
        <v>0</v>
      </c>
      <c r="R97" s="58">
        <f ca="1">IF(ISNUMBER(VLOOKUP(D97,תקציב!$B$17:$G$54,3,FALSE)),VLOOKUP(D97,תקציב!$B$17:$G$54,3,FALSE),1)</f>
        <v>1</v>
      </c>
      <c r="S97" s="58">
        <f t="shared" ca="1" si="8"/>
        <v>0</v>
      </c>
      <c r="T97" s="59">
        <f t="shared" ca="1" si="9"/>
        <v>0</v>
      </c>
      <c r="U97" s="208">
        <f ca="1">IFERROR(VLOOKUP(D97,תקציב!$B$17:$H$54,7,FALSE),0)-T97</f>
        <v>0</v>
      </c>
    </row>
    <row r="98" spans="3:21" ht="15" x14ac:dyDescent="0.2">
      <c r="C98" s="48" t="str">
        <f t="shared" si="10"/>
        <v>ימים</v>
      </c>
      <c r="D98" s="209" t="str">
        <f>'מק"ט'!$C$8&amp;VLOOKUP(H98,'מק"ט'!$D$2:$E$9,2,FALSE)&amp;VLOOKUP(F98,'מק"ט'!$F$2:$G$11,2,FALSE)&amp;RIGHT(VLOOKUP(G98,'מק"ט'!H:I,2,FALSE),2)</f>
        <v>71120618</v>
      </c>
      <c r="E98" s="65" t="str">
        <f>RIGHT(VLOOKUP(G98,'מק"ט'!H:I,2,FALSE),2)</f>
        <v>18</v>
      </c>
      <c r="F98" s="98" t="s">
        <v>106</v>
      </c>
      <c r="G98" s="104" t="s">
        <v>99</v>
      </c>
      <c r="H98" s="67" t="s">
        <v>22</v>
      </c>
      <c r="I98" s="67"/>
      <c r="J98" s="67"/>
      <c r="K98" s="79"/>
      <c r="L98" s="69"/>
      <c r="M98" s="270">
        <f t="shared" si="7"/>
        <v>95</v>
      </c>
      <c r="P98" s="57">
        <f ca="1">IFERROR(VLOOKUP(D98,תקציב!$B$17:$G$54,6,0),0)</f>
        <v>0</v>
      </c>
      <c r="Q98" s="58">
        <f ca="1">IFERROR(VLOOKUP(D98,תקציב!$B$17:$G$54,5,0),0)</f>
        <v>0</v>
      </c>
      <c r="R98" s="58">
        <f ca="1">IF(ISNUMBER(VLOOKUP(D98,תקציב!$B$17:$G$54,3,FALSE)),VLOOKUP(D98,תקציב!$B$17:$G$54,3,FALSE),1)</f>
        <v>1</v>
      </c>
      <c r="S98" s="58">
        <f t="shared" ca="1" si="8"/>
        <v>0</v>
      </c>
      <c r="T98" s="59">
        <f t="shared" ca="1" si="9"/>
        <v>0</v>
      </c>
      <c r="U98" s="208">
        <f ca="1">IFERROR(VLOOKUP(D98,תקציב!$B$17:$H$54,7,FALSE),0)-T98</f>
        <v>0</v>
      </c>
    </row>
    <row r="99" spans="3:21" ht="15" x14ac:dyDescent="0.2">
      <c r="C99" s="48" t="str">
        <f t="shared" si="10"/>
        <v>שבועות</v>
      </c>
      <c r="D99" s="209" t="str">
        <f>'מק"ט'!$C$8&amp;VLOOKUP(H99,'מק"ט'!$D$2:$E$9,2,FALSE)&amp;VLOOKUP(F99,'מק"ט'!$F$2:$G$11,2,FALSE)&amp;RIGHT(VLOOKUP(G99,'מק"ט'!H:I,2,FALSE),2)</f>
        <v>71130618</v>
      </c>
      <c r="E99" s="65" t="str">
        <f>RIGHT(VLOOKUP(G99,'מק"ט'!H:I,2,FALSE),2)</f>
        <v>18</v>
      </c>
      <c r="F99" s="98" t="s">
        <v>106</v>
      </c>
      <c r="G99" s="104" t="s">
        <v>99</v>
      </c>
      <c r="H99" s="67" t="s">
        <v>27</v>
      </c>
      <c r="I99" s="67"/>
      <c r="J99" s="67"/>
      <c r="K99" s="79"/>
      <c r="L99" s="69"/>
      <c r="M99" s="270">
        <f t="shared" si="7"/>
        <v>95</v>
      </c>
      <c r="P99" s="57">
        <f ca="1">IFERROR(VLOOKUP(D99,תקציב!$B$17:$G$54,6,0),0)</f>
        <v>0</v>
      </c>
      <c r="Q99" s="58">
        <f ca="1">IFERROR(VLOOKUP(D99,תקציב!$B$17:$G$54,5,0),0)</f>
        <v>0</v>
      </c>
      <c r="R99" s="58">
        <f ca="1">IF(ISNUMBER(VLOOKUP(D99,תקציב!$B$17:$G$54,3,FALSE)),VLOOKUP(D99,תקציב!$B$17:$G$54,3,FALSE),1)</f>
        <v>1</v>
      </c>
      <c r="S99" s="58">
        <f t="shared" ca="1" si="8"/>
        <v>0</v>
      </c>
      <c r="T99" s="59">
        <f t="shared" ca="1" si="9"/>
        <v>0</v>
      </c>
      <c r="U99" s="208">
        <f ca="1">IFERROR(VLOOKUP(D99,תקציב!$B$17:$H$54,7,FALSE),0)-T99</f>
        <v>0</v>
      </c>
    </row>
    <row r="100" spans="3:21" ht="15" x14ac:dyDescent="0.2">
      <c r="C100" s="48" t="str">
        <f t="shared" si="10"/>
        <v>חודשים</v>
      </c>
      <c r="D100" s="209" t="str">
        <f>'מק"ט'!$C$8&amp;VLOOKUP(H100,'מק"ט'!$D$2:$E$9,2,FALSE)&amp;VLOOKUP(F100,'מק"ט'!$F$2:$G$11,2,FALSE)&amp;RIGHT(VLOOKUP(G100,'מק"ט'!H:I,2,FALSE),2)</f>
        <v>71140618</v>
      </c>
      <c r="E100" s="65" t="str">
        <f>RIGHT(VLOOKUP(G100,'מק"ט'!H:I,2,FALSE),2)</f>
        <v>18</v>
      </c>
      <c r="F100" s="98" t="s">
        <v>106</v>
      </c>
      <c r="G100" s="104" t="s">
        <v>99</v>
      </c>
      <c r="H100" s="67" t="s">
        <v>25</v>
      </c>
      <c r="I100" s="67"/>
      <c r="J100" s="67"/>
      <c r="K100" s="79"/>
      <c r="L100" s="69"/>
      <c r="M100" s="270">
        <f t="shared" si="7"/>
        <v>95</v>
      </c>
      <c r="P100" s="57">
        <f ca="1">IFERROR(VLOOKUP(D100,תקציב!$B$17:$G$54,6,0),0)</f>
        <v>0</v>
      </c>
      <c r="Q100" s="58">
        <f ca="1">IFERROR(VLOOKUP(D100,תקציב!$B$17:$G$54,5,0),0)</f>
        <v>0</v>
      </c>
      <c r="R100" s="58">
        <f ca="1">IF(ISNUMBER(VLOOKUP(D100,תקציב!$B$17:$G$54,3,FALSE)),VLOOKUP(D100,תקציב!$B$17:$G$54,3,FALSE),1)</f>
        <v>1</v>
      </c>
      <c r="S100" s="58">
        <f t="shared" ca="1" si="8"/>
        <v>0</v>
      </c>
      <c r="T100" s="59">
        <f t="shared" ca="1" si="9"/>
        <v>0</v>
      </c>
      <c r="U100" s="208">
        <f ca="1">IFERROR(VLOOKUP(D100,תקציב!$B$17:$H$54,7,FALSE),0)-T100</f>
        <v>0</v>
      </c>
    </row>
    <row r="101" spans="3:21" ht="15" x14ac:dyDescent="0.2">
      <c r="C101" s="48" t="str">
        <f t="shared" si="10"/>
        <v>עונתי גלובלי</v>
      </c>
      <c r="D101" s="209" t="str">
        <f>'מק"ט'!$C$8&amp;VLOOKUP(H101,'מק"ט'!$D$2:$E$9,2,FALSE)&amp;VLOOKUP(F101,'מק"ט'!$F$2:$G$11,2,FALSE)&amp;RIGHT(VLOOKUP(G101,'מק"ט'!H:I,2,FALSE),2)</f>
        <v>71150618</v>
      </c>
      <c r="E101" s="65" t="str">
        <f>RIGHT(VLOOKUP(G101,'מק"ט'!H:I,2,FALSE),2)</f>
        <v>18</v>
      </c>
      <c r="F101" s="98" t="s">
        <v>106</v>
      </c>
      <c r="G101" s="104" t="s">
        <v>99</v>
      </c>
      <c r="H101" s="67" t="s">
        <v>24</v>
      </c>
      <c r="I101" s="67"/>
      <c r="J101" s="67"/>
      <c r="K101" s="79"/>
      <c r="L101" s="69"/>
      <c r="M101" s="270">
        <f t="shared" si="7"/>
        <v>95</v>
      </c>
      <c r="P101" s="57">
        <f ca="1">IFERROR(VLOOKUP(D101,תקציב!$B$17:$G$54,6,0),0)</f>
        <v>0</v>
      </c>
      <c r="Q101" s="58">
        <f ca="1">IFERROR(VLOOKUP(D101,תקציב!$B$17:$G$54,5,0),0)</f>
        <v>0</v>
      </c>
      <c r="R101" s="58">
        <f ca="1">IF(ISNUMBER(VLOOKUP(D101,תקציב!$B$17:$G$54,3,FALSE)),VLOOKUP(D101,תקציב!$B$17:$G$54,3,FALSE),1)</f>
        <v>1</v>
      </c>
      <c r="S101" s="58">
        <f t="shared" ca="1" si="8"/>
        <v>0</v>
      </c>
      <c r="T101" s="59">
        <f t="shared" ca="1" si="9"/>
        <v>0</v>
      </c>
      <c r="U101" s="208">
        <f ca="1">IFERROR(VLOOKUP(D101,תקציב!$B$17:$H$54,7,FALSE),0)-T101</f>
        <v>0</v>
      </c>
    </row>
    <row r="102" spans="3:21" ht="15" x14ac:dyDescent="0.2">
      <c r="C102" s="48" t="str">
        <f t="shared" si="10"/>
        <v>תכניות/פרקים</v>
      </c>
      <c r="D102" s="60" t="str">
        <f>'מק"ט'!$C$8&amp;VLOOKUP(H102,'מק"ט'!$D$2:$E$9,2,FALSE)&amp;VLOOKUP(F102,'מק"ט'!$F$2:$G$11,2,FALSE)&amp;RIGHT(VLOOKUP(G102,'מק"ט'!H:I,2,FALSE),2)</f>
        <v>71110607</v>
      </c>
      <c r="E102" s="61" t="str">
        <f>RIGHT(VLOOKUP(G102,'מק"ט'!H:I,2,FALSE),2)</f>
        <v>07</v>
      </c>
      <c r="F102" s="96" t="s">
        <v>106</v>
      </c>
      <c r="G102" s="107" t="s">
        <v>100</v>
      </c>
      <c r="H102" s="62" t="s">
        <v>26</v>
      </c>
      <c r="I102" s="62"/>
      <c r="J102" s="62"/>
      <c r="K102" s="84"/>
      <c r="L102" s="64"/>
      <c r="M102" s="270">
        <f t="shared" si="7"/>
        <v>100</v>
      </c>
      <c r="P102" s="57">
        <f ca="1">IFERROR(VLOOKUP(D102,תקציב!$B$17:$G$54,6,0),0)</f>
        <v>0</v>
      </c>
      <c r="Q102" s="58">
        <f ca="1">IFERROR(VLOOKUP(D102,תקציב!$B$17:$G$54,5,0),0)</f>
        <v>0</v>
      </c>
      <c r="R102" s="58">
        <f ca="1">IF(ISNUMBER(VLOOKUP(D102,תקציב!$B$17:$G$54,3,FALSE)),VLOOKUP(D102,תקציב!$B$17:$G$54,3,FALSE),1)</f>
        <v>1</v>
      </c>
      <c r="S102" s="58">
        <f t="shared" ca="1" si="8"/>
        <v>0</v>
      </c>
      <c r="T102" s="59">
        <f t="shared" ca="1" si="9"/>
        <v>0</v>
      </c>
      <c r="U102" s="208">
        <f ca="1">IFERROR(VLOOKUP(D102,תקציב!$B$17:$H$54,7,FALSE),0)-T102</f>
        <v>0</v>
      </c>
    </row>
    <row r="103" spans="3:21" ht="15" x14ac:dyDescent="0.2">
      <c r="C103" s="48" t="str">
        <f t="shared" si="10"/>
        <v>ימים</v>
      </c>
      <c r="D103" s="60" t="str">
        <f>'מק"ט'!$C$8&amp;VLOOKUP(H103,'מק"ט'!$D$2:$E$9,2,FALSE)&amp;VLOOKUP(F103,'מק"ט'!$F$2:$G$11,2,FALSE)&amp;RIGHT(VLOOKUP(G103,'מק"ט'!H:I,2,FALSE),2)</f>
        <v>71120607</v>
      </c>
      <c r="E103" s="61" t="str">
        <f>RIGHT(VLOOKUP(G103,'מק"ט'!H:I,2,FALSE),2)</f>
        <v>07</v>
      </c>
      <c r="F103" s="96" t="s">
        <v>106</v>
      </c>
      <c r="G103" s="107" t="s">
        <v>100</v>
      </c>
      <c r="H103" s="62" t="s">
        <v>22</v>
      </c>
      <c r="I103" s="62"/>
      <c r="J103" s="62"/>
      <c r="K103" s="84"/>
      <c r="L103" s="64"/>
      <c r="M103" s="270">
        <f t="shared" si="7"/>
        <v>100</v>
      </c>
      <c r="P103" s="57">
        <f ca="1">IFERROR(VLOOKUP(D103,תקציב!$B$17:$G$54,6,0),0)</f>
        <v>0</v>
      </c>
      <c r="Q103" s="58">
        <f ca="1">IFERROR(VLOOKUP(D103,תקציב!$B$17:$G$54,5,0),0)</f>
        <v>0</v>
      </c>
      <c r="R103" s="58">
        <f ca="1">IF(ISNUMBER(VLOOKUP(D103,תקציב!$B$17:$G$54,3,FALSE)),VLOOKUP(D103,תקציב!$B$17:$G$54,3,FALSE),1)</f>
        <v>1</v>
      </c>
      <c r="S103" s="58">
        <f t="shared" ca="1" si="8"/>
        <v>0</v>
      </c>
      <c r="T103" s="59">
        <f t="shared" ca="1" si="9"/>
        <v>0</v>
      </c>
      <c r="U103" s="208">
        <f ca="1">IFERROR(VLOOKUP(D103,תקציב!$B$17:$H$54,7,FALSE),0)-T103</f>
        <v>0</v>
      </c>
    </row>
    <row r="104" spans="3:21" ht="15" x14ac:dyDescent="0.2">
      <c r="C104" s="48" t="str">
        <f t="shared" si="10"/>
        <v>שבועות</v>
      </c>
      <c r="D104" s="60" t="str">
        <f>'מק"ט'!$C$8&amp;VLOOKUP(H104,'מק"ט'!$D$2:$E$9,2,FALSE)&amp;VLOOKUP(F104,'מק"ט'!$F$2:$G$11,2,FALSE)&amp;RIGHT(VLOOKUP(G104,'מק"ט'!H:I,2,FALSE),2)</f>
        <v>71130607</v>
      </c>
      <c r="E104" s="61" t="str">
        <f>RIGHT(VLOOKUP(G104,'מק"ט'!H:I,2,FALSE),2)</f>
        <v>07</v>
      </c>
      <c r="F104" s="96" t="s">
        <v>106</v>
      </c>
      <c r="G104" s="107" t="s">
        <v>100</v>
      </c>
      <c r="H104" s="62" t="s">
        <v>27</v>
      </c>
      <c r="I104" s="62"/>
      <c r="J104" s="62"/>
      <c r="K104" s="84"/>
      <c r="L104" s="64"/>
      <c r="M104" s="270">
        <f t="shared" si="7"/>
        <v>100</v>
      </c>
      <c r="P104" s="57">
        <f ca="1">IFERROR(VLOOKUP(D104,תקציב!$B$17:$G$54,6,0),0)</f>
        <v>0</v>
      </c>
      <c r="Q104" s="58">
        <f ca="1">IFERROR(VLOOKUP(D104,תקציב!$B$17:$G$54,5,0),0)</f>
        <v>0</v>
      </c>
      <c r="R104" s="58">
        <f ca="1">IF(ISNUMBER(VLOOKUP(D104,תקציב!$B$17:$G$54,3,FALSE)),VLOOKUP(D104,תקציב!$B$17:$G$54,3,FALSE),1)</f>
        <v>1</v>
      </c>
      <c r="S104" s="58">
        <f t="shared" ca="1" si="8"/>
        <v>0</v>
      </c>
      <c r="T104" s="59">
        <f t="shared" ca="1" si="9"/>
        <v>0</v>
      </c>
      <c r="U104" s="208">
        <f ca="1">IFERROR(VLOOKUP(D104,תקציב!$B$17:$H$54,7,FALSE),0)-T104</f>
        <v>0</v>
      </c>
    </row>
    <row r="105" spans="3:21" ht="15" x14ac:dyDescent="0.2">
      <c r="C105" s="48" t="str">
        <f t="shared" si="10"/>
        <v>חודשים</v>
      </c>
      <c r="D105" s="60" t="str">
        <f>'מק"ט'!$C$8&amp;VLOOKUP(H105,'מק"ט'!$D$2:$E$9,2,FALSE)&amp;VLOOKUP(F105,'מק"ט'!$F$2:$G$11,2,FALSE)&amp;RIGHT(VLOOKUP(G105,'מק"ט'!H:I,2,FALSE),2)</f>
        <v>71140607</v>
      </c>
      <c r="E105" s="61" t="str">
        <f>RIGHT(VLOOKUP(G105,'מק"ט'!H:I,2,FALSE),2)</f>
        <v>07</v>
      </c>
      <c r="F105" s="96" t="s">
        <v>106</v>
      </c>
      <c r="G105" s="107" t="s">
        <v>100</v>
      </c>
      <c r="H105" s="62" t="s">
        <v>25</v>
      </c>
      <c r="I105" s="62"/>
      <c r="J105" s="62"/>
      <c r="K105" s="84"/>
      <c r="L105" s="64"/>
      <c r="M105" s="270">
        <f t="shared" si="7"/>
        <v>100</v>
      </c>
      <c r="P105" s="57">
        <f ca="1">IFERROR(VLOOKUP(D105,תקציב!$B$17:$G$54,6,0),0)</f>
        <v>0</v>
      </c>
      <c r="Q105" s="58">
        <f ca="1">IFERROR(VLOOKUP(D105,תקציב!$B$17:$G$54,5,0),0)</f>
        <v>0</v>
      </c>
      <c r="R105" s="58">
        <f ca="1">IF(ISNUMBER(VLOOKUP(D105,תקציב!$B$17:$G$54,3,FALSE)),VLOOKUP(D105,תקציב!$B$17:$G$54,3,FALSE),1)</f>
        <v>1</v>
      </c>
      <c r="S105" s="58">
        <f t="shared" ca="1" si="8"/>
        <v>0</v>
      </c>
      <c r="T105" s="59">
        <f t="shared" ca="1" si="9"/>
        <v>0</v>
      </c>
      <c r="U105" s="208">
        <f ca="1">IFERROR(VLOOKUP(D105,תקציב!$B$17:$H$54,7,FALSE),0)-T105</f>
        <v>0</v>
      </c>
    </row>
    <row r="106" spans="3:21" ht="15" x14ac:dyDescent="0.2">
      <c r="C106" s="48" t="str">
        <f t="shared" si="10"/>
        <v>עונתי גלובלי</v>
      </c>
      <c r="D106" s="60" t="str">
        <f>'מק"ט'!$C$8&amp;VLOOKUP(H106,'מק"ט'!$D$2:$E$9,2,FALSE)&amp;VLOOKUP(F106,'מק"ט'!$F$2:$G$11,2,FALSE)&amp;RIGHT(VLOOKUP(G106,'מק"ט'!H:I,2,FALSE),2)</f>
        <v>71150607</v>
      </c>
      <c r="E106" s="61" t="str">
        <f>RIGHT(VLOOKUP(G106,'מק"ט'!H:I,2,FALSE),2)</f>
        <v>07</v>
      </c>
      <c r="F106" s="96" t="s">
        <v>106</v>
      </c>
      <c r="G106" s="107" t="s">
        <v>100</v>
      </c>
      <c r="H106" s="62" t="s">
        <v>24</v>
      </c>
      <c r="I106" s="62"/>
      <c r="J106" s="62"/>
      <c r="K106" s="84"/>
      <c r="L106" s="64"/>
      <c r="M106" s="270">
        <f t="shared" si="7"/>
        <v>100</v>
      </c>
      <c r="P106" s="57">
        <f ca="1">IFERROR(VLOOKUP(D106,תקציב!$B$17:$G$54,6,0),0)</f>
        <v>0</v>
      </c>
      <c r="Q106" s="58">
        <f ca="1">IFERROR(VLOOKUP(D106,תקציב!$B$17:$G$54,5,0),0)</f>
        <v>0</v>
      </c>
      <c r="R106" s="58">
        <f ca="1">IF(ISNUMBER(VLOOKUP(D106,תקציב!$B$17:$G$54,3,FALSE)),VLOOKUP(D106,תקציב!$B$17:$G$54,3,FALSE),1)</f>
        <v>1</v>
      </c>
      <c r="S106" s="58">
        <f t="shared" ca="1" si="8"/>
        <v>0</v>
      </c>
      <c r="T106" s="59">
        <f t="shared" ca="1" si="9"/>
        <v>0</v>
      </c>
      <c r="U106" s="208">
        <f ca="1">IFERROR(VLOOKUP(D106,תקציב!$B$17:$H$54,7,FALSE),0)-T106</f>
        <v>0</v>
      </c>
    </row>
    <row r="107" spans="3:21" ht="15" x14ac:dyDescent="0.2">
      <c r="C107" s="48" t="str">
        <f t="shared" si="10"/>
        <v>תכניות/פרקים</v>
      </c>
      <c r="D107" s="209" t="str">
        <f>'מק"ט'!$C$8&amp;VLOOKUP(H107,'מק"ט'!$D$2:$E$9,2,FALSE)&amp;VLOOKUP(F107,'מק"ט'!$F$2:$G$11,2,FALSE)&amp;RIGHT(VLOOKUP(G107,'מק"ט'!H:I,2,FALSE),2)</f>
        <v>71110616</v>
      </c>
      <c r="E107" s="65" t="str">
        <f>RIGHT(VLOOKUP(G107,'מק"ט'!H:I,2,FALSE),2)</f>
        <v>16</v>
      </c>
      <c r="F107" s="98" t="s">
        <v>106</v>
      </c>
      <c r="G107" s="99" t="s">
        <v>101</v>
      </c>
      <c r="H107" s="67" t="s">
        <v>26</v>
      </c>
      <c r="I107" s="67"/>
      <c r="J107" s="67"/>
      <c r="K107" s="79"/>
      <c r="L107" s="69"/>
      <c r="M107" s="270">
        <f t="shared" si="7"/>
        <v>105</v>
      </c>
      <c r="P107" s="57">
        <f ca="1">IFERROR(VLOOKUP(D107,תקציב!$B$17:$G$54,6,0),0)</f>
        <v>0</v>
      </c>
      <c r="Q107" s="58">
        <f ca="1">IFERROR(VLOOKUP(D107,תקציב!$B$17:$G$54,5,0),0)</f>
        <v>0</v>
      </c>
      <c r="R107" s="58">
        <f ca="1">IF(ISNUMBER(VLOOKUP(D107,תקציב!$B$17:$G$54,3,FALSE)),VLOOKUP(D107,תקציב!$B$17:$G$54,3,FALSE),1)</f>
        <v>1</v>
      </c>
      <c r="S107" s="58">
        <f t="shared" ca="1" si="8"/>
        <v>0</v>
      </c>
      <c r="T107" s="59">
        <f t="shared" ca="1" si="9"/>
        <v>0</v>
      </c>
      <c r="U107" s="208">
        <f ca="1">IFERROR(VLOOKUP(D107,תקציב!$B$17:$H$54,7,FALSE),0)-T107</f>
        <v>0</v>
      </c>
    </row>
    <row r="108" spans="3:21" ht="15" x14ac:dyDescent="0.2">
      <c r="C108" s="48" t="str">
        <f t="shared" si="10"/>
        <v>ימים</v>
      </c>
      <c r="D108" s="209" t="str">
        <f>'מק"ט'!$C$8&amp;VLOOKUP(H108,'מק"ט'!$D$2:$E$9,2,FALSE)&amp;VLOOKUP(F108,'מק"ט'!$F$2:$G$11,2,FALSE)&amp;RIGHT(VLOOKUP(G108,'מק"ט'!H:I,2,FALSE),2)</f>
        <v>71120616</v>
      </c>
      <c r="E108" s="65" t="str">
        <f>RIGHT(VLOOKUP(G108,'מק"ט'!H:I,2,FALSE),2)</f>
        <v>16</v>
      </c>
      <c r="F108" s="98" t="s">
        <v>106</v>
      </c>
      <c r="G108" s="99" t="s">
        <v>101</v>
      </c>
      <c r="H108" s="67" t="s">
        <v>22</v>
      </c>
      <c r="I108" s="67"/>
      <c r="J108" s="67"/>
      <c r="K108" s="79"/>
      <c r="L108" s="69"/>
      <c r="M108" s="270">
        <f t="shared" si="7"/>
        <v>105</v>
      </c>
      <c r="P108" s="57">
        <f ca="1">IFERROR(VLOOKUP(D108,תקציב!$B$17:$G$54,6,0),0)</f>
        <v>0</v>
      </c>
      <c r="Q108" s="58">
        <f ca="1">IFERROR(VLOOKUP(D108,תקציב!$B$17:$G$54,5,0),0)</f>
        <v>0</v>
      </c>
      <c r="R108" s="58">
        <f ca="1">IF(ISNUMBER(VLOOKUP(D108,תקציב!$B$17:$G$54,3,FALSE)),VLOOKUP(D108,תקציב!$B$17:$G$54,3,FALSE),1)</f>
        <v>1</v>
      </c>
      <c r="S108" s="58">
        <f t="shared" ca="1" si="8"/>
        <v>0</v>
      </c>
      <c r="T108" s="59">
        <f t="shared" ca="1" si="9"/>
        <v>0</v>
      </c>
      <c r="U108" s="208">
        <f ca="1">IFERROR(VLOOKUP(D108,תקציב!$B$17:$H$54,7,FALSE),0)-T108</f>
        <v>0</v>
      </c>
    </row>
    <row r="109" spans="3:21" ht="15" x14ac:dyDescent="0.2">
      <c r="C109" s="48" t="str">
        <f t="shared" si="10"/>
        <v>שבועות</v>
      </c>
      <c r="D109" s="209" t="str">
        <f>'מק"ט'!$C$8&amp;VLOOKUP(H109,'מק"ט'!$D$2:$E$9,2,FALSE)&amp;VLOOKUP(F109,'מק"ט'!$F$2:$G$11,2,FALSE)&amp;RIGHT(VLOOKUP(G109,'מק"ט'!H:I,2,FALSE),2)</f>
        <v>71130616</v>
      </c>
      <c r="E109" s="65" t="str">
        <f>RIGHT(VLOOKUP(G109,'מק"ט'!H:I,2,FALSE),2)</f>
        <v>16</v>
      </c>
      <c r="F109" s="98" t="s">
        <v>106</v>
      </c>
      <c r="G109" s="99" t="s">
        <v>101</v>
      </c>
      <c r="H109" s="67" t="s">
        <v>27</v>
      </c>
      <c r="I109" s="67"/>
      <c r="J109" s="67"/>
      <c r="K109" s="79"/>
      <c r="L109" s="69"/>
      <c r="M109" s="270">
        <f t="shared" si="7"/>
        <v>105</v>
      </c>
      <c r="P109" s="57">
        <f ca="1">IFERROR(VLOOKUP(D109,תקציב!$B$17:$G$54,6,0),0)</f>
        <v>0</v>
      </c>
      <c r="Q109" s="58">
        <f ca="1">IFERROR(VLOOKUP(D109,תקציב!$B$17:$G$54,5,0),0)</f>
        <v>0</v>
      </c>
      <c r="R109" s="58">
        <f ca="1">IF(ISNUMBER(VLOOKUP(D109,תקציב!$B$17:$G$54,3,FALSE)),VLOOKUP(D109,תקציב!$B$17:$G$54,3,FALSE),1)</f>
        <v>1</v>
      </c>
      <c r="S109" s="58">
        <f t="shared" ca="1" si="8"/>
        <v>0</v>
      </c>
      <c r="T109" s="59">
        <f t="shared" ca="1" si="9"/>
        <v>0</v>
      </c>
      <c r="U109" s="208">
        <f ca="1">IFERROR(VLOOKUP(D109,תקציב!$B$17:$H$54,7,FALSE),0)-T109</f>
        <v>0</v>
      </c>
    </row>
    <row r="110" spans="3:21" ht="15" x14ac:dyDescent="0.2">
      <c r="C110" s="48" t="str">
        <f t="shared" si="10"/>
        <v>חודשים</v>
      </c>
      <c r="D110" s="209" t="str">
        <f>'מק"ט'!$C$8&amp;VLOOKUP(H110,'מק"ט'!$D$2:$E$9,2,FALSE)&amp;VLOOKUP(F110,'מק"ט'!$F$2:$G$11,2,FALSE)&amp;RIGHT(VLOOKUP(G110,'מק"ט'!H:I,2,FALSE),2)</f>
        <v>71140616</v>
      </c>
      <c r="E110" s="65" t="str">
        <f>RIGHT(VLOOKUP(G110,'מק"ט'!H:I,2,FALSE),2)</f>
        <v>16</v>
      </c>
      <c r="F110" s="98" t="s">
        <v>106</v>
      </c>
      <c r="G110" s="99" t="s">
        <v>101</v>
      </c>
      <c r="H110" s="67" t="s">
        <v>25</v>
      </c>
      <c r="I110" s="67"/>
      <c r="J110" s="67"/>
      <c r="K110" s="79"/>
      <c r="L110" s="69"/>
      <c r="M110" s="270">
        <f t="shared" si="7"/>
        <v>105</v>
      </c>
      <c r="P110" s="57">
        <f ca="1">IFERROR(VLOOKUP(D110,תקציב!$B$17:$G$54,6,0),0)</f>
        <v>0</v>
      </c>
      <c r="Q110" s="58">
        <f ca="1">IFERROR(VLOOKUP(D110,תקציב!$B$17:$G$54,5,0),0)</f>
        <v>0</v>
      </c>
      <c r="R110" s="58">
        <f ca="1">IF(ISNUMBER(VLOOKUP(D110,תקציב!$B$17:$G$54,3,FALSE)),VLOOKUP(D110,תקציב!$B$17:$G$54,3,FALSE),1)</f>
        <v>1</v>
      </c>
      <c r="S110" s="58">
        <f t="shared" ca="1" si="8"/>
        <v>0</v>
      </c>
      <c r="T110" s="59">
        <f t="shared" ca="1" si="9"/>
        <v>0</v>
      </c>
      <c r="U110" s="208">
        <f ca="1">IFERROR(VLOOKUP(D110,תקציב!$B$17:$H$54,7,FALSE),0)-T110</f>
        <v>0</v>
      </c>
    </row>
    <row r="111" spans="3:21" ht="15" x14ac:dyDescent="0.2">
      <c r="C111" s="48" t="str">
        <f t="shared" si="10"/>
        <v>עונתי גלובלי</v>
      </c>
      <c r="D111" s="209" t="str">
        <f>'מק"ט'!$C$8&amp;VLOOKUP(H111,'מק"ט'!$D$2:$E$9,2,FALSE)&amp;VLOOKUP(F111,'מק"ט'!$F$2:$G$11,2,FALSE)&amp;RIGHT(VLOOKUP(G111,'מק"ט'!H:I,2,FALSE),2)</f>
        <v>71150616</v>
      </c>
      <c r="E111" s="65" t="str">
        <f>RIGHT(VLOOKUP(G111,'מק"ט'!H:I,2,FALSE),2)</f>
        <v>16</v>
      </c>
      <c r="F111" s="98" t="s">
        <v>106</v>
      </c>
      <c r="G111" s="99" t="s">
        <v>101</v>
      </c>
      <c r="H111" s="67" t="s">
        <v>24</v>
      </c>
      <c r="I111" s="67"/>
      <c r="J111" s="67"/>
      <c r="K111" s="79"/>
      <c r="L111" s="69"/>
      <c r="M111" s="270">
        <f t="shared" si="7"/>
        <v>105</v>
      </c>
      <c r="P111" s="57">
        <f ca="1">IFERROR(VLOOKUP(D111,תקציב!$B$17:$G$54,6,0),0)</f>
        <v>0</v>
      </c>
      <c r="Q111" s="58">
        <f ca="1">IFERROR(VLOOKUP(D111,תקציב!$B$17:$G$54,5,0),0)</f>
        <v>0</v>
      </c>
      <c r="R111" s="58">
        <f ca="1">IF(ISNUMBER(VLOOKUP(D111,תקציב!$B$17:$G$54,3,FALSE)),VLOOKUP(D111,תקציב!$B$17:$G$54,3,FALSE),1)</f>
        <v>1</v>
      </c>
      <c r="S111" s="58">
        <f t="shared" ca="1" si="8"/>
        <v>0</v>
      </c>
      <c r="T111" s="59">
        <f t="shared" ca="1" si="9"/>
        <v>0</v>
      </c>
      <c r="U111" s="208">
        <f ca="1">IFERROR(VLOOKUP(D111,תקציב!$B$17:$H$54,7,FALSE),0)-T111</f>
        <v>0</v>
      </c>
    </row>
    <row r="112" spans="3:21" ht="15" x14ac:dyDescent="0.2">
      <c r="C112" s="48" t="str">
        <f t="shared" si="10"/>
        <v>תכניות/פרקים</v>
      </c>
      <c r="D112" s="60" t="str">
        <f>'מק"ט'!$C$8&amp;VLOOKUP(H112,'מק"ט'!$D$2:$E$9,2,FALSE)&amp;VLOOKUP(F112,'מק"ט'!$F$2:$G$11,2,FALSE)&amp;RIGHT(VLOOKUP(G112,'מק"ט'!H:I,2,FALSE),2)</f>
        <v>71110609</v>
      </c>
      <c r="E112" s="61" t="str">
        <f>RIGHT(VLOOKUP(G112,'מק"ט'!H:I,2,FALSE),2)</f>
        <v>09</v>
      </c>
      <c r="F112" s="96" t="s">
        <v>106</v>
      </c>
      <c r="G112" s="107" t="s">
        <v>102</v>
      </c>
      <c r="H112" s="62" t="s">
        <v>26</v>
      </c>
      <c r="I112" s="62"/>
      <c r="J112" s="62"/>
      <c r="K112" s="84"/>
      <c r="L112" s="64"/>
      <c r="M112" s="270">
        <f t="shared" si="7"/>
        <v>110</v>
      </c>
      <c r="P112" s="57">
        <f ca="1">IFERROR(VLOOKUP(D112,תקציב!$B$17:$G$54,6,0),0)</f>
        <v>0</v>
      </c>
      <c r="Q112" s="58">
        <f ca="1">IFERROR(VLOOKUP(D112,תקציב!$B$17:$G$54,5,0),0)</f>
        <v>0</v>
      </c>
      <c r="R112" s="58">
        <f ca="1">IF(ISNUMBER(VLOOKUP(D112,תקציב!$B$17:$G$54,3,FALSE)),VLOOKUP(D112,תקציב!$B$17:$G$54,3,FALSE),1)</f>
        <v>1</v>
      </c>
      <c r="S112" s="58">
        <f t="shared" ca="1" si="8"/>
        <v>0</v>
      </c>
      <c r="T112" s="59">
        <f t="shared" ca="1" si="9"/>
        <v>0</v>
      </c>
      <c r="U112" s="208">
        <f ca="1">IFERROR(VLOOKUP(D112,תקציב!$B$17:$H$54,7,FALSE),0)-T112</f>
        <v>0</v>
      </c>
    </row>
    <row r="113" spans="3:21" ht="15" x14ac:dyDescent="0.2">
      <c r="C113" s="48" t="str">
        <f t="shared" si="10"/>
        <v>ימים</v>
      </c>
      <c r="D113" s="60" t="str">
        <f>'מק"ט'!$C$8&amp;VLOOKUP(H113,'מק"ט'!$D$2:$E$9,2,FALSE)&amp;VLOOKUP(F113,'מק"ט'!$F$2:$G$11,2,FALSE)&amp;RIGHT(VLOOKUP(G113,'מק"ט'!H:I,2,FALSE),2)</f>
        <v>71120609</v>
      </c>
      <c r="E113" s="61" t="str">
        <f>RIGHT(VLOOKUP(G113,'מק"ט'!H:I,2,FALSE),2)</f>
        <v>09</v>
      </c>
      <c r="F113" s="96" t="s">
        <v>106</v>
      </c>
      <c r="G113" s="107" t="s">
        <v>102</v>
      </c>
      <c r="H113" s="62" t="s">
        <v>22</v>
      </c>
      <c r="I113" s="62"/>
      <c r="J113" s="62"/>
      <c r="K113" s="84"/>
      <c r="L113" s="64"/>
      <c r="M113" s="270">
        <f t="shared" si="7"/>
        <v>110</v>
      </c>
      <c r="P113" s="57">
        <f ca="1">IFERROR(VLOOKUP(D113,תקציב!$B$17:$G$54,6,0),0)</f>
        <v>0</v>
      </c>
      <c r="Q113" s="58">
        <f ca="1">IFERROR(VLOOKUP(D113,תקציב!$B$17:$G$54,5,0),0)</f>
        <v>0</v>
      </c>
      <c r="R113" s="58">
        <f ca="1">IF(ISNUMBER(VLOOKUP(D113,תקציב!$B$17:$G$54,3,FALSE)),VLOOKUP(D113,תקציב!$B$17:$G$54,3,FALSE),1)</f>
        <v>1</v>
      </c>
      <c r="S113" s="58">
        <f t="shared" ca="1" si="8"/>
        <v>0</v>
      </c>
      <c r="T113" s="59">
        <f t="shared" ca="1" si="9"/>
        <v>0</v>
      </c>
      <c r="U113" s="208">
        <f ca="1">IFERROR(VLOOKUP(D113,תקציב!$B$17:$H$54,7,FALSE),0)-T113</f>
        <v>0</v>
      </c>
    </row>
    <row r="114" spans="3:21" ht="15" x14ac:dyDescent="0.2">
      <c r="C114" s="48" t="str">
        <f t="shared" si="10"/>
        <v>שבועות</v>
      </c>
      <c r="D114" s="60" t="str">
        <f>'מק"ט'!$C$8&amp;VLOOKUP(H114,'מק"ט'!$D$2:$E$9,2,FALSE)&amp;VLOOKUP(F114,'מק"ט'!$F$2:$G$11,2,FALSE)&amp;RIGHT(VLOOKUP(G114,'מק"ט'!H:I,2,FALSE),2)</f>
        <v>71130609</v>
      </c>
      <c r="E114" s="61" t="str">
        <f>RIGHT(VLOOKUP(G114,'מק"ט'!H:I,2,FALSE),2)</f>
        <v>09</v>
      </c>
      <c r="F114" s="96" t="s">
        <v>106</v>
      </c>
      <c r="G114" s="107" t="s">
        <v>102</v>
      </c>
      <c r="H114" s="62" t="s">
        <v>27</v>
      </c>
      <c r="I114" s="62"/>
      <c r="J114" s="62"/>
      <c r="K114" s="84"/>
      <c r="L114" s="64"/>
      <c r="M114" s="270">
        <f t="shared" si="7"/>
        <v>110</v>
      </c>
      <c r="P114" s="57">
        <f ca="1">IFERROR(VLOOKUP(D114,תקציב!$B$17:$G$54,6,0),0)</f>
        <v>0</v>
      </c>
      <c r="Q114" s="58">
        <f ca="1">IFERROR(VLOOKUP(D114,תקציב!$B$17:$G$54,5,0),0)</f>
        <v>0</v>
      </c>
      <c r="R114" s="58">
        <f ca="1">IF(ISNUMBER(VLOOKUP(D114,תקציב!$B$17:$G$54,3,FALSE)),VLOOKUP(D114,תקציב!$B$17:$G$54,3,FALSE),1)</f>
        <v>1</v>
      </c>
      <c r="S114" s="58">
        <f t="shared" ca="1" si="8"/>
        <v>0</v>
      </c>
      <c r="T114" s="59">
        <f t="shared" ca="1" si="9"/>
        <v>0</v>
      </c>
      <c r="U114" s="208">
        <f ca="1">IFERROR(VLOOKUP(D114,תקציב!$B$17:$H$54,7,FALSE),0)-T114</f>
        <v>0</v>
      </c>
    </row>
    <row r="115" spans="3:21" ht="15" x14ac:dyDescent="0.2">
      <c r="C115" s="48" t="str">
        <f t="shared" si="10"/>
        <v>חודשים</v>
      </c>
      <c r="D115" s="60" t="str">
        <f>'מק"ט'!$C$8&amp;VLOOKUP(H115,'מק"ט'!$D$2:$E$9,2,FALSE)&amp;VLOOKUP(F115,'מק"ט'!$F$2:$G$11,2,FALSE)&amp;RIGHT(VLOOKUP(G115,'מק"ט'!H:I,2,FALSE),2)</f>
        <v>71140609</v>
      </c>
      <c r="E115" s="61" t="str">
        <f>RIGHT(VLOOKUP(G115,'מק"ט'!H:I,2,FALSE),2)</f>
        <v>09</v>
      </c>
      <c r="F115" s="96" t="s">
        <v>106</v>
      </c>
      <c r="G115" s="107" t="s">
        <v>102</v>
      </c>
      <c r="H115" s="62" t="s">
        <v>25</v>
      </c>
      <c r="I115" s="62"/>
      <c r="J115" s="62"/>
      <c r="K115" s="84"/>
      <c r="L115" s="64"/>
      <c r="M115" s="270">
        <f t="shared" si="7"/>
        <v>110</v>
      </c>
      <c r="P115" s="57">
        <f ca="1">IFERROR(VLOOKUP(D115,תקציב!$B$17:$G$54,6,0),0)</f>
        <v>0</v>
      </c>
      <c r="Q115" s="58">
        <f ca="1">IFERROR(VLOOKUP(D115,תקציב!$B$17:$G$54,5,0),0)</f>
        <v>0</v>
      </c>
      <c r="R115" s="58">
        <f ca="1">IF(ISNUMBER(VLOOKUP(D115,תקציב!$B$17:$G$54,3,FALSE)),VLOOKUP(D115,תקציב!$B$17:$G$54,3,FALSE),1)</f>
        <v>1</v>
      </c>
      <c r="S115" s="58">
        <f t="shared" ca="1" si="8"/>
        <v>0</v>
      </c>
      <c r="T115" s="59">
        <f t="shared" ca="1" si="9"/>
        <v>0</v>
      </c>
      <c r="U115" s="208">
        <f ca="1">IFERROR(VLOOKUP(D115,תקציב!$B$17:$H$54,7,FALSE),0)-T115</f>
        <v>0</v>
      </c>
    </row>
    <row r="116" spans="3:21" ht="15" x14ac:dyDescent="0.2">
      <c r="C116" s="48" t="str">
        <f t="shared" si="10"/>
        <v>עונתי גלובלי</v>
      </c>
      <c r="D116" s="60" t="str">
        <f>'מק"ט'!$C$8&amp;VLOOKUP(H116,'מק"ט'!$D$2:$E$9,2,FALSE)&amp;VLOOKUP(F116,'מק"ט'!$F$2:$G$11,2,FALSE)&amp;RIGHT(VLOOKUP(G116,'מק"ט'!H:I,2,FALSE),2)</f>
        <v>71150609</v>
      </c>
      <c r="E116" s="61" t="str">
        <f>RIGHT(VLOOKUP(G116,'מק"ט'!H:I,2,FALSE),2)</f>
        <v>09</v>
      </c>
      <c r="F116" s="96" t="s">
        <v>106</v>
      </c>
      <c r="G116" s="107" t="s">
        <v>102</v>
      </c>
      <c r="H116" s="62" t="s">
        <v>24</v>
      </c>
      <c r="I116" s="62"/>
      <c r="J116" s="62"/>
      <c r="K116" s="84"/>
      <c r="L116" s="64"/>
      <c r="M116" s="270">
        <f t="shared" si="7"/>
        <v>110</v>
      </c>
      <c r="P116" s="57">
        <f ca="1">IFERROR(VLOOKUP(D116,תקציב!$B$17:$G$54,6,0),0)</f>
        <v>0</v>
      </c>
      <c r="Q116" s="58">
        <f ca="1">IFERROR(VLOOKUP(D116,תקציב!$B$17:$G$54,5,0),0)</f>
        <v>0</v>
      </c>
      <c r="R116" s="58">
        <f ca="1">IF(ISNUMBER(VLOOKUP(D116,תקציב!$B$17:$G$54,3,FALSE)),VLOOKUP(D116,תקציב!$B$17:$G$54,3,FALSE),1)</f>
        <v>1</v>
      </c>
      <c r="S116" s="58">
        <f t="shared" ca="1" si="8"/>
        <v>0</v>
      </c>
      <c r="T116" s="59">
        <f t="shared" ca="1" si="9"/>
        <v>0</v>
      </c>
      <c r="U116" s="208">
        <f ca="1">IFERROR(VLOOKUP(D116,תקציב!$B$17:$H$54,7,FALSE),0)-T116</f>
        <v>0</v>
      </c>
    </row>
    <row r="117" spans="3:21" ht="15" x14ac:dyDescent="0.2">
      <c r="C117" s="48" t="str">
        <f t="shared" si="10"/>
        <v>תכניות/פרקים</v>
      </c>
      <c r="D117" s="209" t="str">
        <f>'מק"ט'!$C$8&amp;VLOOKUP(H117,'מק"ט'!$D$2:$E$9,2,FALSE)&amp;VLOOKUP(F117,'מק"ט'!$F$2:$G$11,2,FALSE)&amp;RIGHT(VLOOKUP(G117,'מק"ט'!H:I,2,FALSE),2)</f>
        <v>71110610</v>
      </c>
      <c r="E117" s="65" t="str">
        <f>RIGHT(VLOOKUP(G117,'מק"ט'!H:I,2,FALSE),2)</f>
        <v>10</v>
      </c>
      <c r="F117" s="98" t="s">
        <v>106</v>
      </c>
      <c r="G117" s="106" t="s">
        <v>106</v>
      </c>
      <c r="H117" s="67" t="s">
        <v>26</v>
      </c>
      <c r="I117" s="67"/>
      <c r="J117" s="67"/>
      <c r="K117" s="79"/>
      <c r="L117" s="69"/>
      <c r="M117" s="270">
        <f t="shared" si="7"/>
        <v>115</v>
      </c>
      <c r="P117" s="57">
        <f ca="1">IFERROR(VLOOKUP(D117,תקציב!$B$17:$G$54,6,0),0)</f>
        <v>0</v>
      </c>
      <c r="Q117" s="58">
        <f ca="1">IFERROR(VLOOKUP(D117,תקציב!$B$17:$G$54,5,0),0)</f>
        <v>0</v>
      </c>
      <c r="R117" s="58">
        <f ca="1">IF(ISNUMBER(VLOOKUP(D117,תקציב!$B$17:$G$54,3,FALSE)),VLOOKUP(D117,תקציב!$B$17:$G$54,3,FALSE),1)</f>
        <v>1</v>
      </c>
      <c r="S117" s="58">
        <f t="shared" ca="1" si="8"/>
        <v>0</v>
      </c>
      <c r="T117" s="59">
        <f t="shared" ca="1" si="9"/>
        <v>0</v>
      </c>
      <c r="U117" s="208">
        <f ca="1">IFERROR(VLOOKUP(D117,תקציב!$B$17:$H$54,7,FALSE),0)-T117</f>
        <v>0</v>
      </c>
    </row>
    <row r="118" spans="3:21" ht="15" x14ac:dyDescent="0.2">
      <c r="C118" s="48" t="str">
        <f t="shared" si="10"/>
        <v>ימים</v>
      </c>
      <c r="D118" s="209" t="str">
        <f>'מק"ט'!$C$8&amp;VLOOKUP(H118,'מק"ט'!$D$2:$E$9,2,FALSE)&amp;VLOOKUP(F118,'מק"ט'!$F$2:$G$11,2,FALSE)&amp;RIGHT(VLOOKUP(G118,'מק"ט'!H:I,2,FALSE),2)</f>
        <v>71120610</v>
      </c>
      <c r="E118" s="65" t="str">
        <f>RIGHT(VLOOKUP(G118,'מק"ט'!H:I,2,FALSE),2)</f>
        <v>10</v>
      </c>
      <c r="F118" s="98" t="s">
        <v>106</v>
      </c>
      <c r="G118" s="106" t="s">
        <v>106</v>
      </c>
      <c r="H118" s="67" t="s">
        <v>22</v>
      </c>
      <c r="I118" s="67"/>
      <c r="J118" s="67"/>
      <c r="K118" s="79"/>
      <c r="L118" s="69"/>
      <c r="M118" s="270">
        <f t="shared" si="7"/>
        <v>115</v>
      </c>
      <c r="P118" s="57">
        <f ca="1">IFERROR(VLOOKUP(D118,תקציב!$B$17:$G$54,6,0),0)</f>
        <v>0</v>
      </c>
      <c r="Q118" s="58">
        <f ca="1">IFERROR(VLOOKUP(D118,תקציב!$B$17:$G$54,5,0),0)</f>
        <v>0</v>
      </c>
      <c r="R118" s="58">
        <f ca="1">IF(ISNUMBER(VLOOKUP(D118,תקציב!$B$17:$G$54,3,FALSE)),VLOOKUP(D118,תקציב!$B$17:$G$54,3,FALSE),1)</f>
        <v>1</v>
      </c>
      <c r="S118" s="58">
        <f t="shared" ca="1" si="8"/>
        <v>0</v>
      </c>
      <c r="T118" s="59">
        <f t="shared" ca="1" si="9"/>
        <v>0</v>
      </c>
      <c r="U118" s="208">
        <f ca="1">IFERROR(VLOOKUP(D118,תקציב!$B$17:$H$54,7,FALSE),0)-T118</f>
        <v>0</v>
      </c>
    </row>
    <row r="119" spans="3:21" ht="15" x14ac:dyDescent="0.2">
      <c r="C119" s="48" t="str">
        <f t="shared" si="10"/>
        <v>שבועות</v>
      </c>
      <c r="D119" s="209" t="str">
        <f>'מק"ט'!$C$8&amp;VLOOKUP(H119,'מק"ט'!$D$2:$E$9,2,FALSE)&amp;VLOOKUP(F119,'מק"ט'!$F$2:$G$11,2,FALSE)&amp;RIGHT(VLOOKUP(G119,'מק"ט'!H:I,2,FALSE),2)</f>
        <v>71130610</v>
      </c>
      <c r="E119" s="65" t="str">
        <f>RIGHT(VLOOKUP(G119,'מק"ט'!H:I,2,FALSE),2)</f>
        <v>10</v>
      </c>
      <c r="F119" s="98" t="s">
        <v>106</v>
      </c>
      <c r="G119" s="106" t="s">
        <v>106</v>
      </c>
      <c r="H119" s="67" t="s">
        <v>27</v>
      </c>
      <c r="I119" s="67"/>
      <c r="J119" s="67"/>
      <c r="K119" s="79"/>
      <c r="L119" s="69"/>
      <c r="M119" s="270">
        <f t="shared" si="7"/>
        <v>115</v>
      </c>
      <c r="P119" s="57">
        <f ca="1">IFERROR(VLOOKUP(D119,תקציב!$B$17:$G$54,6,0),0)</f>
        <v>0</v>
      </c>
      <c r="Q119" s="58">
        <f ca="1">IFERROR(VLOOKUP(D119,תקציב!$B$17:$G$54,5,0),0)</f>
        <v>0</v>
      </c>
      <c r="R119" s="58">
        <f ca="1">IF(ISNUMBER(VLOOKUP(D119,תקציב!$B$17:$G$54,3,FALSE)),VLOOKUP(D119,תקציב!$B$17:$G$54,3,FALSE),1)</f>
        <v>1</v>
      </c>
      <c r="S119" s="58">
        <f t="shared" ca="1" si="8"/>
        <v>0</v>
      </c>
      <c r="T119" s="59">
        <f t="shared" ca="1" si="9"/>
        <v>0</v>
      </c>
      <c r="U119" s="208">
        <f ca="1">IFERROR(VLOOKUP(D119,תקציב!$B$17:$H$54,7,FALSE),0)-T119</f>
        <v>0</v>
      </c>
    </row>
    <row r="120" spans="3:21" ht="15" x14ac:dyDescent="0.2">
      <c r="C120" s="48" t="str">
        <f t="shared" si="10"/>
        <v>חודשים</v>
      </c>
      <c r="D120" s="209" t="str">
        <f>'מק"ט'!$C$8&amp;VLOOKUP(H120,'מק"ט'!$D$2:$E$9,2,FALSE)&amp;VLOOKUP(F120,'מק"ט'!$F$2:$G$11,2,FALSE)&amp;RIGHT(VLOOKUP(G120,'מק"ט'!H:I,2,FALSE),2)</f>
        <v>71140610</v>
      </c>
      <c r="E120" s="65" t="str">
        <f>RIGHT(VLOOKUP(G120,'מק"ט'!H:I,2,FALSE),2)</f>
        <v>10</v>
      </c>
      <c r="F120" s="98" t="s">
        <v>106</v>
      </c>
      <c r="G120" s="106" t="s">
        <v>106</v>
      </c>
      <c r="H120" s="67" t="s">
        <v>25</v>
      </c>
      <c r="I120" s="67"/>
      <c r="J120" s="67"/>
      <c r="K120" s="79"/>
      <c r="L120" s="69"/>
      <c r="M120" s="270">
        <f t="shared" si="7"/>
        <v>115</v>
      </c>
      <c r="P120" s="57">
        <f ca="1">IFERROR(VLOOKUP(D120,תקציב!$B$17:$G$54,6,0),0)</f>
        <v>0</v>
      </c>
      <c r="Q120" s="58">
        <f ca="1">IFERROR(VLOOKUP(D120,תקציב!$B$17:$G$54,5,0),0)</f>
        <v>0</v>
      </c>
      <c r="R120" s="58">
        <f ca="1">IF(ISNUMBER(VLOOKUP(D120,תקציב!$B$17:$G$54,3,FALSE)),VLOOKUP(D120,תקציב!$B$17:$G$54,3,FALSE),1)</f>
        <v>1</v>
      </c>
      <c r="S120" s="58">
        <f t="shared" ca="1" si="8"/>
        <v>0</v>
      </c>
      <c r="T120" s="59">
        <f t="shared" ca="1" si="9"/>
        <v>0</v>
      </c>
      <c r="U120" s="208">
        <f ca="1">IFERROR(VLOOKUP(D120,תקציב!$B$17:$H$54,7,FALSE),0)-T120</f>
        <v>0</v>
      </c>
    </row>
    <row r="121" spans="3:21" ht="15.75" thickBot="1" x14ac:dyDescent="0.25">
      <c r="C121" s="48" t="str">
        <f t="shared" si="10"/>
        <v>עונתי גלובלי</v>
      </c>
      <c r="D121" s="209" t="str">
        <f>'מק"ט'!$C$8&amp;VLOOKUP(H121,'מק"ט'!$D$2:$E$9,2,FALSE)&amp;VLOOKUP(F121,'מק"ט'!$F$2:$G$11,2,FALSE)&amp;RIGHT(VLOOKUP(G121,'מק"ט'!H:I,2,FALSE),2)</f>
        <v>71150610</v>
      </c>
      <c r="E121" s="65" t="str">
        <f>RIGHT(VLOOKUP(G121,'מק"ט'!H:I,2,FALSE),2)</f>
        <v>10</v>
      </c>
      <c r="F121" s="98" t="s">
        <v>106</v>
      </c>
      <c r="G121" s="106" t="s">
        <v>106</v>
      </c>
      <c r="H121" s="67" t="s">
        <v>24</v>
      </c>
      <c r="I121" s="67"/>
      <c r="J121" s="67"/>
      <c r="K121" s="79"/>
      <c r="L121" s="69"/>
      <c r="M121" s="270">
        <f t="shared" si="7"/>
        <v>115</v>
      </c>
      <c r="P121" s="57">
        <f ca="1">IFERROR(VLOOKUP(D121,תקציב!$B$17:$G$54,6,0),0)</f>
        <v>0</v>
      </c>
      <c r="Q121" s="58">
        <f ca="1">IFERROR(VLOOKUP(D121,תקציב!$B$17:$G$54,5,0),0)</f>
        <v>0</v>
      </c>
      <c r="R121" s="58">
        <f ca="1">IF(ISNUMBER(VLOOKUP(D121,תקציב!$B$17:$G$54,3,FALSE)),VLOOKUP(D121,תקציב!$B$17:$G$54,3,FALSE),1)</f>
        <v>1</v>
      </c>
      <c r="S121" s="58">
        <f t="shared" ca="1" si="8"/>
        <v>0</v>
      </c>
      <c r="T121" s="59">
        <f t="shared" ca="1" si="9"/>
        <v>0</v>
      </c>
      <c r="U121" s="208">
        <f ca="1">IFERROR(VLOOKUP(D121,תקציב!$B$17:$H$54,7,FALSE),0)-T121</f>
        <v>0</v>
      </c>
    </row>
    <row r="122" spans="3:21" ht="15" x14ac:dyDescent="0.2">
      <c r="C122" s="48" t="str">
        <f t="shared" si="10"/>
        <v>תכניות/פרקים</v>
      </c>
      <c r="D122" s="52" t="str">
        <f>'מק"ט'!$C$8&amp;VLOOKUP(H122,'מק"ט'!$D$2:$E$9,2,FALSE)&amp;VLOOKUP(F122,'מק"ט'!$F$2:$G$11,2,FALSE)&amp;RIGHT(VLOOKUP(G122,'מק"ט'!H:I,2,FALSE),2)</f>
        <v>71110720</v>
      </c>
      <c r="E122" s="53" t="str">
        <f>RIGHT(VLOOKUP(G122,'מק"ט'!H:I,2,FALSE),2)</f>
        <v>20</v>
      </c>
      <c r="F122" s="212" t="s">
        <v>123</v>
      </c>
      <c r="G122" s="211" t="s">
        <v>251</v>
      </c>
      <c r="H122" s="54" t="s">
        <v>26</v>
      </c>
      <c r="I122" s="81"/>
      <c r="J122" s="81"/>
      <c r="K122" s="81"/>
      <c r="L122" s="82"/>
      <c r="M122" s="270">
        <f t="shared" si="7"/>
        <v>120</v>
      </c>
      <c r="P122" s="57">
        <f ca="1">IFERROR(VLOOKUP(D122,תקציב!$B$17:$G$54,6,0),0)</f>
        <v>0</v>
      </c>
      <c r="Q122" s="58">
        <f ca="1">IFERROR(VLOOKUP(D122,תקציב!$B$17:$G$54,5,0),0)</f>
        <v>0</v>
      </c>
      <c r="R122" s="58">
        <f ca="1">IF(ISNUMBER(VLOOKUP(D122,תקציב!$B$17:$G$54,3,FALSE)),VLOOKUP(D122,תקציב!$B$17:$G$54,3,FALSE),1)</f>
        <v>1</v>
      </c>
      <c r="S122" s="58">
        <f t="shared" ca="1" si="8"/>
        <v>0</v>
      </c>
      <c r="T122" s="59">
        <f t="shared" ca="1" si="9"/>
        <v>0</v>
      </c>
      <c r="U122" s="208">
        <f ca="1">IFERROR(VLOOKUP(D122,תקציב!$B$17:$H$54,7,FALSE),0)-T122</f>
        <v>0</v>
      </c>
    </row>
    <row r="123" spans="3:21" ht="15" x14ac:dyDescent="0.2">
      <c r="C123" s="48" t="str">
        <f t="shared" si="10"/>
        <v>ימים</v>
      </c>
      <c r="D123" s="60" t="str">
        <f>'מק"ט'!$C$8&amp;VLOOKUP(H123,'מק"ט'!$D$2:$E$9,2,FALSE)&amp;VLOOKUP(F123,'מק"ט'!$F$2:$G$11,2,FALSE)&amp;RIGHT(VLOOKUP(G123,'מק"ט'!H:I,2,FALSE),2)</f>
        <v>71120720</v>
      </c>
      <c r="E123" s="61" t="str">
        <f>RIGHT(VLOOKUP(G123,'מק"ט'!H:I,2,FALSE),2)</f>
        <v>20</v>
      </c>
      <c r="F123" s="96" t="s">
        <v>123</v>
      </c>
      <c r="G123" s="97" t="s">
        <v>251</v>
      </c>
      <c r="H123" s="62" t="s">
        <v>22</v>
      </c>
      <c r="I123" s="84"/>
      <c r="J123" s="84"/>
      <c r="K123" s="84"/>
      <c r="L123" s="78"/>
      <c r="M123" s="270">
        <f t="shared" si="7"/>
        <v>120</v>
      </c>
      <c r="P123" s="57">
        <f ca="1">IFERROR(VLOOKUP(D123,תקציב!$B$17:$G$54,6,0),0)</f>
        <v>0</v>
      </c>
      <c r="Q123" s="58">
        <f ca="1">IFERROR(VLOOKUP(D123,תקציב!$B$17:$G$54,5,0),0)</f>
        <v>0</v>
      </c>
      <c r="R123" s="58">
        <f ca="1">IF(ISNUMBER(VLOOKUP(D123,תקציב!$B$17:$G$54,3,FALSE)),VLOOKUP(D123,תקציב!$B$17:$G$54,3,FALSE),1)</f>
        <v>1</v>
      </c>
      <c r="S123" s="58">
        <f t="shared" ca="1" si="8"/>
        <v>0</v>
      </c>
      <c r="T123" s="59">
        <f t="shared" ca="1" si="9"/>
        <v>0</v>
      </c>
      <c r="U123" s="208">
        <f ca="1">IFERROR(VLOOKUP(D123,תקציב!$B$17:$H$54,7,FALSE),0)-T123</f>
        <v>0</v>
      </c>
    </row>
    <row r="124" spans="3:21" ht="15" x14ac:dyDescent="0.2">
      <c r="C124" s="48" t="str">
        <f t="shared" si="10"/>
        <v>שבועות</v>
      </c>
      <c r="D124" s="60" t="str">
        <f>'מק"ט'!$C$8&amp;VLOOKUP(H124,'מק"ט'!$D$2:$E$9,2,FALSE)&amp;VLOOKUP(F124,'מק"ט'!$F$2:$G$11,2,FALSE)&amp;RIGHT(VLOOKUP(G124,'מק"ט'!H:I,2,FALSE),2)</f>
        <v>71130720</v>
      </c>
      <c r="E124" s="61" t="str">
        <f>RIGHT(VLOOKUP(G124,'מק"ט'!H:I,2,FALSE),2)</f>
        <v>20</v>
      </c>
      <c r="F124" s="96" t="s">
        <v>123</v>
      </c>
      <c r="G124" s="97" t="s">
        <v>251</v>
      </c>
      <c r="H124" s="62" t="s">
        <v>27</v>
      </c>
      <c r="I124" s="84"/>
      <c r="J124" s="84"/>
      <c r="K124" s="84"/>
      <c r="L124" s="78"/>
      <c r="M124" s="270">
        <f t="shared" si="7"/>
        <v>120</v>
      </c>
      <c r="P124" s="57">
        <f ca="1">IFERROR(VLOOKUP(D124,תקציב!$B$17:$G$54,6,0),0)</f>
        <v>0</v>
      </c>
      <c r="Q124" s="58">
        <f ca="1">IFERROR(VLOOKUP(D124,תקציב!$B$17:$G$54,5,0),0)</f>
        <v>0</v>
      </c>
      <c r="R124" s="58">
        <f ca="1">IF(ISNUMBER(VLOOKUP(D124,תקציב!$B$17:$G$54,3,FALSE)),VLOOKUP(D124,תקציב!$B$17:$G$54,3,FALSE),1)</f>
        <v>1</v>
      </c>
      <c r="S124" s="58">
        <f t="shared" ca="1" si="8"/>
        <v>0</v>
      </c>
      <c r="T124" s="59">
        <f t="shared" ca="1" si="9"/>
        <v>0</v>
      </c>
      <c r="U124" s="208">
        <f ca="1">IFERROR(VLOOKUP(D124,תקציב!$B$17:$H$54,7,FALSE),0)-T124</f>
        <v>0</v>
      </c>
    </row>
    <row r="125" spans="3:21" ht="15" x14ac:dyDescent="0.2">
      <c r="C125" s="48" t="str">
        <f t="shared" si="10"/>
        <v>חודשים</v>
      </c>
      <c r="D125" s="60" t="str">
        <f>'מק"ט'!$C$8&amp;VLOOKUP(H125,'מק"ט'!$D$2:$E$9,2,FALSE)&amp;VLOOKUP(F125,'מק"ט'!$F$2:$G$11,2,FALSE)&amp;RIGHT(VLOOKUP(G125,'מק"ט'!H:I,2,FALSE),2)</f>
        <v>71140720</v>
      </c>
      <c r="E125" s="61" t="str">
        <f>RIGHT(VLOOKUP(G125,'מק"ט'!H:I,2,FALSE),2)</f>
        <v>20</v>
      </c>
      <c r="F125" s="96" t="s">
        <v>123</v>
      </c>
      <c r="G125" s="97" t="s">
        <v>251</v>
      </c>
      <c r="H125" s="62" t="s">
        <v>25</v>
      </c>
      <c r="I125" s="258"/>
      <c r="J125" s="258"/>
      <c r="K125" s="258"/>
      <c r="L125" s="78"/>
      <c r="M125" s="270">
        <f t="shared" si="7"/>
        <v>120</v>
      </c>
      <c r="P125" s="57">
        <f ca="1">IFERROR(VLOOKUP(D125,תקציב!$B$17:$G$54,6,0),0)</f>
        <v>0</v>
      </c>
      <c r="Q125" s="58">
        <f ca="1">IFERROR(VLOOKUP(D125,תקציב!$B$17:$G$54,5,0),0)</f>
        <v>0</v>
      </c>
      <c r="R125" s="58">
        <f ca="1">IF(ISNUMBER(VLOOKUP(D125,תקציב!$B$17:$G$54,3,FALSE)),VLOOKUP(D125,תקציב!$B$17:$G$54,3,FALSE),1)</f>
        <v>1</v>
      </c>
      <c r="S125" s="58">
        <f t="shared" ca="1" si="8"/>
        <v>0</v>
      </c>
      <c r="T125" s="59">
        <f t="shared" ca="1" si="9"/>
        <v>0</v>
      </c>
      <c r="U125" s="208">
        <f ca="1">IFERROR(VLOOKUP(D125,תקציב!$B$17:$H$54,7,FALSE),0)-T125</f>
        <v>0</v>
      </c>
    </row>
    <row r="126" spans="3:21" ht="15" x14ac:dyDescent="0.2">
      <c r="C126" s="48" t="str">
        <f t="shared" si="10"/>
        <v>עונתי גלובלי</v>
      </c>
      <c r="D126" s="60" t="str">
        <f>'מק"ט'!$C$8&amp;VLOOKUP(H126,'מק"ט'!$D$2:$E$9,2,FALSE)&amp;VLOOKUP(F126,'מק"ט'!$F$2:$G$11,2,FALSE)&amp;RIGHT(VLOOKUP(G126,'מק"ט'!H:I,2,FALSE),2)</f>
        <v>71150720</v>
      </c>
      <c r="E126" s="61" t="str">
        <f>RIGHT(VLOOKUP(G126,'מק"ט'!H:I,2,FALSE),2)</f>
        <v>20</v>
      </c>
      <c r="F126" s="96" t="s">
        <v>123</v>
      </c>
      <c r="G126" s="97" t="s">
        <v>251</v>
      </c>
      <c r="H126" s="62" t="s">
        <v>24</v>
      </c>
      <c r="I126" s="258"/>
      <c r="J126" s="258"/>
      <c r="K126" s="258"/>
      <c r="L126" s="78"/>
      <c r="M126" s="270">
        <f t="shared" si="7"/>
        <v>120</v>
      </c>
      <c r="P126" s="57">
        <f ca="1">IFERROR(VLOOKUP(D126,תקציב!$B$17:$G$54,6,0),0)</f>
        <v>0</v>
      </c>
      <c r="Q126" s="58">
        <f ca="1">IFERROR(VLOOKUP(D126,תקציב!$B$17:$G$54,5,0),0)</f>
        <v>0</v>
      </c>
      <c r="R126" s="58">
        <f ca="1">IF(ISNUMBER(VLOOKUP(D126,תקציב!$B$17:$G$54,3,FALSE)),VLOOKUP(D126,תקציב!$B$17:$G$54,3,FALSE),1)</f>
        <v>1</v>
      </c>
      <c r="S126" s="58">
        <f t="shared" ca="1" si="8"/>
        <v>0</v>
      </c>
      <c r="T126" s="59">
        <f t="shared" ca="1" si="9"/>
        <v>0</v>
      </c>
      <c r="U126" s="208">
        <f ca="1">IFERROR(VLOOKUP(D126,תקציב!$B$17:$H$54,7,FALSE),0)-T126</f>
        <v>0</v>
      </c>
    </row>
    <row r="127" spans="3:21" ht="15" x14ac:dyDescent="0.2">
      <c r="C127" s="48" t="str">
        <f t="shared" si="10"/>
        <v>תכניות/פרקים</v>
      </c>
      <c r="D127" s="209" t="str">
        <f>'מק"ט'!$C$8&amp;VLOOKUP(H127,'מק"ט'!$D$2:$E$9,2,FALSE)&amp;VLOOKUP(F127,'מק"ט'!$F$2:$G$11,2,FALSE)&amp;RIGHT(VLOOKUP(G127,'מק"ט'!H:I,2,FALSE),2)</f>
        <v>71110721</v>
      </c>
      <c r="E127" s="65" t="str">
        <f>RIGHT(VLOOKUP(G127,'מק"ט'!H:I,2,FALSE),2)</f>
        <v>21</v>
      </c>
      <c r="F127" s="98" t="s">
        <v>123</v>
      </c>
      <c r="G127" s="104" t="s">
        <v>256</v>
      </c>
      <c r="H127" s="67" t="s">
        <v>26</v>
      </c>
      <c r="I127" s="67"/>
      <c r="J127" s="79"/>
      <c r="K127" s="79"/>
      <c r="L127" s="69"/>
      <c r="M127" s="270">
        <f t="shared" si="7"/>
        <v>125</v>
      </c>
      <c r="P127" s="57">
        <f ca="1">IFERROR(VLOOKUP(D127,תקציב!$B$17:$G$54,6,0),0)</f>
        <v>0</v>
      </c>
      <c r="Q127" s="58">
        <f ca="1">IFERROR(VLOOKUP(D127,תקציב!$B$17:$G$54,5,0),0)</f>
        <v>0</v>
      </c>
      <c r="R127" s="58">
        <f ca="1">IF(ISNUMBER(VLOOKUP(D127,תקציב!$B$17:$G$54,3,FALSE)),VLOOKUP(D127,תקציב!$B$17:$G$54,3,FALSE),1)</f>
        <v>1</v>
      </c>
      <c r="S127" s="58">
        <f t="shared" ca="1" si="8"/>
        <v>0</v>
      </c>
      <c r="T127" s="59">
        <f t="shared" ca="1" si="9"/>
        <v>0</v>
      </c>
      <c r="U127" s="208">
        <f ca="1">IFERROR(VLOOKUP(D127,תקציב!$B$17:$H$54,7,FALSE),0)-T127</f>
        <v>0</v>
      </c>
    </row>
    <row r="128" spans="3:21" ht="15" x14ac:dyDescent="0.2">
      <c r="C128" s="48" t="str">
        <f t="shared" si="10"/>
        <v>ימים</v>
      </c>
      <c r="D128" s="209" t="str">
        <f>'מק"ט'!$C$8&amp;VLOOKUP(H128,'מק"ט'!$D$2:$E$9,2,FALSE)&amp;VLOOKUP(F128,'מק"ט'!$F$2:$G$11,2,FALSE)&amp;RIGHT(VLOOKUP(G128,'מק"ט'!H:I,2,FALSE),2)</f>
        <v>71120721</v>
      </c>
      <c r="E128" s="65" t="str">
        <f>RIGHT(VLOOKUP(G128,'מק"ט'!H:I,2,FALSE),2)</f>
        <v>21</v>
      </c>
      <c r="F128" s="98" t="s">
        <v>123</v>
      </c>
      <c r="G128" s="104" t="s">
        <v>256</v>
      </c>
      <c r="H128" s="67" t="s">
        <v>22</v>
      </c>
      <c r="I128" s="67"/>
      <c r="J128" s="79"/>
      <c r="K128" s="79"/>
      <c r="L128" s="69"/>
      <c r="M128" s="270">
        <f t="shared" si="7"/>
        <v>125</v>
      </c>
      <c r="P128" s="57">
        <f ca="1">IFERROR(VLOOKUP(D128,תקציב!$B$17:$G$54,6,0),0)</f>
        <v>0</v>
      </c>
      <c r="Q128" s="58">
        <f ca="1">IFERROR(VLOOKUP(D128,תקציב!$B$17:$G$54,5,0),0)</f>
        <v>0</v>
      </c>
      <c r="R128" s="58">
        <f ca="1">IF(ISNUMBER(VLOOKUP(D128,תקציב!$B$17:$G$54,3,FALSE)),VLOOKUP(D128,תקציב!$B$17:$G$54,3,FALSE),1)</f>
        <v>1</v>
      </c>
      <c r="S128" s="58">
        <f t="shared" ca="1" si="8"/>
        <v>0</v>
      </c>
      <c r="T128" s="59">
        <f t="shared" ca="1" si="9"/>
        <v>0</v>
      </c>
      <c r="U128" s="208">
        <f ca="1">IFERROR(VLOOKUP(D128,תקציב!$B$17:$H$54,7,FALSE),0)-T128</f>
        <v>0</v>
      </c>
    </row>
    <row r="129" spans="3:21" ht="15" x14ac:dyDescent="0.2">
      <c r="C129" s="48" t="str">
        <f t="shared" si="10"/>
        <v>שבועות</v>
      </c>
      <c r="D129" s="209" t="str">
        <f>'מק"ט'!$C$8&amp;VLOOKUP(H129,'מק"ט'!$D$2:$E$9,2,FALSE)&amp;VLOOKUP(F129,'מק"ט'!$F$2:$G$11,2,FALSE)&amp;RIGHT(VLOOKUP(G129,'מק"ט'!H:I,2,FALSE),2)</f>
        <v>71130721</v>
      </c>
      <c r="E129" s="65" t="str">
        <f>RIGHT(VLOOKUP(G129,'מק"ט'!H:I,2,FALSE),2)</f>
        <v>21</v>
      </c>
      <c r="F129" s="98" t="s">
        <v>123</v>
      </c>
      <c r="G129" s="104" t="s">
        <v>256</v>
      </c>
      <c r="H129" s="67" t="s">
        <v>27</v>
      </c>
      <c r="I129" s="67"/>
      <c r="J129" s="79"/>
      <c r="K129" s="79"/>
      <c r="L129" s="69"/>
      <c r="M129" s="270">
        <f t="shared" si="7"/>
        <v>125</v>
      </c>
      <c r="P129" s="57">
        <f ca="1">IFERROR(VLOOKUP(D129,תקציב!$B$17:$G$54,6,0),0)</f>
        <v>0</v>
      </c>
      <c r="Q129" s="58">
        <f ca="1">IFERROR(VLOOKUP(D129,תקציב!$B$17:$G$54,5,0),0)</f>
        <v>0</v>
      </c>
      <c r="R129" s="58">
        <f ca="1">IF(ISNUMBER(VLOOKUP(D129,תקציב!$B$17:$G$54,3,FALSE)),VLOOKUP(D129,תקציב!$B$17:$G$54,3,FALSE),1)</f>
        <v>1</v>
      </c>
      <c r="S129" s="58">
        <f t="shared" ca="1" si="8"/>
        <v>0</v>
      </c>
      <c r="T129" s="59">
        <f t="shared" ca="1" si="9"/>
        <v>0</v>
      </c>
      <c r="U129" s="208">
        <f ca="1">IFERROR(VLOOKUP(D129,תקציב!$B$17:$H$54,7,FALSE),0)-T129</f>
        <v>0</v>
      </c>
    </row>
    <row r="130" spans="3:21" ht="15" x14ac:dyDescent="0.2">
      <c r="C130" s="48" t="str">
        <f t="shared" si="10"/>
        <v>חודשים</v>
      </c>
      <c r="D130" s="209" t="str">
        <f>'מק"ט'!$C$8&amp;VLOOKUP(H130,'מק"ט'!$D$2:$E$9,2,FALSE)&amp;VLOOKUP(F130,'מק"ט'!$F$2:$G$11,2,FALSE)&amp;RIGHT(VLOOKUP(G130,'מק"ט'!H:I,2,FALSE),2)</f>
        <v>71140721</v>
      </c>
      <c r="E130" s="65" t="str">
        <f>RIGHT(VLOOKUP(G130,'מק"ט'!H:I,2,FALSE),2)</f>
        <v>21</v>
      </c>
      <c r="F130" s="98" t="s">
        <v>123</v>
      </c>
      <c r="G130" s="104" t="s">
        <v>256</v>
      </c>
      <c r="H130" s="67" t="s">
        <v>25</v>
      </c>
      <c r="I130" s="67"/>
      <c r="J130" s="79"/>
      <c r="K130" s="79"/>
      <c r="L130" s="69"/>
      <c r="M130" s="270">
        <f t="shared" si="7"/>
        <v>125</v>
      </c>
      <c r="P130" s="57">
        <f ca="1">IFERROR(VLOOKUP(D130,תקציב!$B$17:$G$54,6,0),0)</f>
        <v>0</v>
      </c>
      <c r="Q130" s="58">
        <f ca="1">IFERROR(VLOOKUP(D130,תקציב!$B$17:$G$54,5,0),0)</f>
        <v>0</v>
      </c>
      <c r="R130" s="58">
        <f ca="1">IF(ISNUMBER(VLOOKUP(D130,תקציב!$B$17:$G$54,3,FALSE)),VLOOKUP(D130,תקציב!$B$17:$G$54,3,FALSE),1)</f>
        <v>1</v>
      </c>
      <c r="S130" s="58">
        <f t="shared" ca="1" si="8"/>
        <v>0</v>
      </c>
      <c r="T130" s="59">
        <f t="shared" ca="1" si="9"/>
        <v>0</v>
      </c>
      <c r="U130" s="208">
        <f ca="1">IFERROR(VLOOKUP(D130,תקציב!$B$17:$H$54,7,FALSE),0)-T130</f>
        <v>0</v>
      </c>
    </row>
    <row r="131" spans="3:21" ht="15.75" thickBot="1" x14ac:dyDescent="0.25">
      <c r="C131" s="48" t="str">
        <f t="shared" si="10"/>
        <v>עונתי גלובלי</v>
      </c>
      <c r="D131" s="210" t="str">
        <f>'מק"ט'!$C$8&amp;VLOOKUP(H131,'מק"ט'!$D$2:$E$9,2,FALSE)&amp;VLOOKUP(F131,'מק"ט'!$F$2:$G$11,2,FALSE)&amp;RIGHT(VLOOKUP(G131,'מק"ט'!H:I,2,FALSE),2)</f>
        <v>71150721</v>
      </c>
      <c r="E131" s="95" t="str">
        <f>RIGHT(VLOOKUP(G131,'מק"ט'!H:I,2,FALSE),2)</f>
        <v>21</v>
      </c>
      <c r="F131" s="108" t="s">
        <v>123</v>
      </c>
      <c r="G131" s="104" t="s">
        <v>256</v>
      </c>
      <c r="H131" s="67" t="s">
        <v>24</v>
      </c>
      <c r="I131" s="91"/>
      <c r="J131" s="92"/>
      <c r="K131" s="92"/>
      <c r="L131" s="109"/>
      <c r="M131" s="270">
        <f t="shared" ref="M131:M152" si="11">IF(G131=G130,M130,M130+5)</f>
        <v>125</v>
      </c>
      <c r="P131" s="57">
        <f ca="1">IFERROR(VLOOKUP(D131,תקציב!$B$17:$G$54,6,0),0)</f>
        <v>0</v>
      </c>
      <c r="Q131" s="58">
        <f ca="1">IFERROR(VLOOKUP(D131,תקציב!$B$17:$G$54,5,0),0)</f>
        <v>0</v>
      </c>
      <c r="R131" s="58">
        <f ca="1">IF(ISNUMBER(VLOOKUP(D131,תקציב!$B$17:$G$54,3,FALSE)),VLOOKUP(D131,תקציב!$B$17:$G$54,3,FALSE),1)</f>
        <v>1</v>
      </c>
      <c r="S131" s="58">
        <f t="shared" ref="S131:S153" ca="1" si="12">IFERROR((Q131*R131),0)</f>
        <v>0</v>
      </c>
      <c r="T131" s="59">
        <f t="shared" ref="T131:T153" ca="1" si="13">P131*S131</f>
        <v>0</v>
      </c>
      <c r="U131" s="208">
        <f ca="1">IFERROR(VLOOKUP(D131,תקציב!$B$17:$H$54,7,FALSE),0)-T131</f>
        <v>0</v>
      </c>
    </row>
    <row r="132" spans="3:21" ht="15" x14ac:dyDescent="0.2">
      <c r="C132" s="48" t="str">
        <f t="shared" ref="C132:C152" si="14">H132</f>
        <v>תכניות/פרקים</v>
      </c>
      <c r="D132" s="52" t="str">
        <f>'מק"ט'!$C$8&amp;VLOOKUP(H132,'מק"ט'!$D$2:$E$9,2,FALSE)&amp;VLOOKUP(F132,'מק"ט'!$F$2:$G$11,2,FALSE)&amp;RIGHT(VLOOKUP(G132,'מק"ט'!H:I,2,FALSE),2)</f>
        <v>71110806</v>
      </c>
      <c r="E132" s="242" t="str">
        <f>RIGHT(VLOOKUP(G132,'מק"ט'!H:I,2,FALSE),2)</f>
        <v>06</v>
      </c>
      <c r="F132" s="212" t="s">
        <v>155</v>
      </c>
      <c r="G132" s="259" t="s">
        <v>252</v>
      </c>
      <c r="H132" s="54" t="s">
        <v>26</v>
      </c>
      <c r="I132" s="54"/>
      <c r="J132" s="81"/>
      <c r="K132" s="81"/>
      <c r="L132" s="56"/>
      <c r="M132" s="270">
        <f t="shared" si="11"/>
        <v>130</v>
      </c>
      <c r="P132" s="57">
        <f ca="1">IFERROR(VLOOKUP(D132,תקציב!$B$17:$G$54,6,0),0)</f>
        <v>0</v>
      </c>
      <c r="Q132" s="58">
        <f ca="1">IFERROR(VLOOKUP(D132,תקציב!$B$17:$G$54,5,0),0)</f>
        <v>0</v>
      </c>
      <c r="R132" s="58">
        <f ca="1">IF(ISNUMBER(VLOOKUP(D132,תקציב!$B$17:$G$54,3,FALSE)),VLOOKUP(D132,תקציב!$B$17:$G$54,3,FALSE),1)</f>
        <v>1</v>
      </c>
      <c r="S132" s="58">
        <f t="shared" ca="1" si="12"/>
        <v>0</v>
      </c>
      <c r="T132" s="59">
        <f t="shared" ca="1" si="13"/>
        <v>0</v>
      </c>
      <c r="U132" s="208">
        <f ca="1">IFERROR(VLOOKUP(D132,תקציב!$B$17:$H$54,7,FALSE),0)-T132</f>
        <v>0</v>
      </c>
    </row>
    <row r="133" spans="3:21" ht="15" x14ac:dyDescent="0.2">
      <c r="C133" s="48" t="str">
        <f t="shared" si="14"/>
        <v>ימים</v>
      </c>
      <c r="D133" s="60" t="str">
        <f>'מק"ט'!$C$8&amp;VLOOKUP(H133,'מק"ט'!$D$2:$E$9,2,FALSE)&amp;VLOOKUP(F133,'מק"ט'!$F$2:$G$11,2,FALSE)&amp;RIGHT(VLOOKUP(G133,'מק"ט'!H:I,2,FALSE),2)</f>
        <v>71120806</v>
      </c>
      <c r="E133" s="74" t="str">
        <f>RIGHT(VLOOKUP(G133,'מק"ט'!H:I,2,FALSE),2)</f>
        <v>06</v>
      </c>
      <c r="F133" s="96" t="s">
        <v>155</v>
      </c>
      <c r="G133" s="105" t="s">
        <v>252</v>
      </c>
      <c r="H133" s="62" t="s">
        <v>22</v>
      </c>
      <c r="I133" s="62"/>
      <c r="J133" s="84"/>
      <c r="K133" s="84"/>
      <c r="L133" s="64"/>
      <c r="M133" s="270">
        <f t="shared" si="11"/>
        <v>130</v>
      </c>
      <c r="P133" s="57">
        <f ca="1">IFERROR(VLOOKUP(D133,תקציב!$B$17:$G$54,6,0),0)</f>
        <v>0</v>
      </c>
      <c r="Q133" s="58">
        <f ca="1">IFERROR(VLOOKUP(D133,תקציב!$B$17:$G$54,5,0),0)</f>
        <v>0</v>
      </c>
      <c r="R133" s="58">
        <f ca="1">IF(ISNUMBER(VLOOKUP(D133,תקציב!$B$17:$G$54,3,FALSE)),VLOOKUP(D133,תקציב!$B$17:$G$54,3,FALSE),1)</f>
        <v>1</v>
      </c>
      <c r="S133" s="58">
        <f t="shared" ca="1" si="12"/>
        <v>0</v>
      </c>
      <c r="T133" s="59">
        <f t="shared" ca="1" si="13"/>
        <v>0</v>
      </c>
      <c r="U133" s="208">
        <f ca="1">IFERROR(VLOOKUP(D133,תקציב!$B$17:$H$54,7,FALSE),0)-T133</f>
        <v>0</v>
      </c>
    </row>
    <row r="134" spans="3:21" ht="15" x14ac:dyDescent="0.2">
      <c r="C134" s="48" t="str">
        <f t="shared" si="14"/>
        <v>שבועות</v>
      </c>
      <c r="D134" s="60" t="str">
        <f>'מק"ט'!$C$8&amp;VLOOKUP(H134,'מק"ט'!$D$2:$E$9,2,FALSE)&amp;VLOOKUP(F134,'מק"ט'!$F$2:$G$11,2,FALSE)&amp;RIGHT(VLOOKUP(G134,'מק"ט'!H:I,2,FALSE),2)</f>
        <v>71130806</v>
      </c>
      <c r="E134" s="74" t="str">
        <f>RIGHT(VLOOKUP(G134,'מק"ט'!H:I,2,FALSE),2)</f>
        <v>06</v>
      </c>
      <c r="F134" s="96" t="s">
        <v>155</v>
      </c>
      <c r="G134" s="105" t="s">
        <v>252</v>
      </c>
      <c r="H134" s="62" t="s">
        <v>27</v>
      </c>
      <c r="I134" s="62"/>
      <c r="J134" s="84"/>
      <c r="K134" s="84"/>
      <c r="L134" s="64"/>
      <c r="M134" s="270">
        <f t="shared" si="11"/>
        <v>130</v>
      </c>
      <c r="P134" s="57">
        <f ca="1">IFERROR(VLOOKUP(D134,תקציב!$B$17:$G$54,6,0),0)</f>
        <v>0</v>
      </c>
      <c r="Q134" s="58">
        <f ca="1">IFERROR(VLOOKUP(D134,תקציב!$B$17:$G$54,5,0),0)</f>
        <v>0</v>
      </c>
      <c r="R134" s="58">
        <f ca="1">IF(ISNUMBER(VLOOKUP(D134,תקציב!$B$17:$G$54,3,FALSE)),VLOOKUP(D134,תקציב!$B$17:$G$54,3,FALSE),1)</f>
        <v>1</v>
      </c>
      <c r="S134" s="58">
        <f t="shared" ca="1" si="12"/>
        <v>0</v>
      </c>
      <c r="T134" s="59">
        <f t="shared" ca="1" si="13"/>
        <v>0</v>
      </c>
      <c r="U134" s="208">
        <f ca="1">IFERROR(VLOOKUP(D134,תקציב!$B$17:$H$54,7,FALSE),0)-T134</f>
        <v>0</v>
      </c>
    </row>
    <row r="135" spans="3:21" ht="15" x14ac:dyDescent="0.2">
      <c r="C135" s="48" t="str">
        <f t="shared" si="14"/>
        <v>חודשים</v>
      </c>
      <c r="D135" s="60" t="str">
        <f>'מק"ט'!$C$8&amp;VLOOKUP(H135,'מק"ט'!$D$2:$E$9,2,FALSE)&amp;VLOOKUP(F135,'מק"ט'!$F$2:$G$11,2,FALSE)&amp;RIGHT(VLOOKUP(G135,'מק"ט'!H:I,2,FALSE),2)</f>
        <v>71140806</v>
      </c>
      <c r="E135" s="74" t="str">
        <f>RIGHT(VLOOKUP(G135,'מק"ט'!H:I,2,FALSE),2)</f>
        <v>06</v>
      </c>
      <c r="F135" s="96" t="s">
        <v>155</v>
      </c>
      <c r="G135" s="105" t="s">
        <v>252</v>
      </c>
      <c r="H135" s="62" t="s">
        <v>25</v>
      </c>
      <c r="I135" s="62"/>
      <c r="J135" s="84"/>
      <c r="K135" s="84"/>
      <c r="L135" s="64"/>
      <c r="M135" s="270">
        <f t="shared" si="11"/>
        <v>130</v>
      </c>
      <c r="P135" s="57">
        <f ca="1">IFERROR(VLOOKUP(D135,תקציב!$B$17:$G$54,6,0),0)</f>
        <v>0</v>
      </c>
      <c r="Q135" s="58">
        <f ca="1">IFERROR(VLOOKUP(D135,תקציב!$B$17:$G$54,5,0),0)</f>
        <v>0</v>
      </c>
      <c r="R135" s="58">
        <f ca="1">IF(ISNUMBER(VLOOKUP(D135,תקציב!$B$17:$G$54,3,FALSE)),VLOOKUP(D135,תקציב!$B$17:$G$54,3,FALSE),1)</f>
        <v>1</v>
      </c>
      <c r="S135" s="58">
        <f t="shared" ca="1" si="12"/>
        <v>0</v>
      </c>
      <c r="T135" s="59">
        <f t="shared" ca="1" si="13"/>
        <v>0</v>
      </c>
      <c r="U135" s="208">
        <f ca="1">IFERROR(VLOOKUP(D135,תקציב!$B$17:$H$54,7,FALSE),0)-T135</f>
        <v>0</v>
      </c>
    </row>
    <row r="136" spans="3:21" ht="15" x14ac:dyDescent="0.2">
      <c r="C136" s="48" t="str">
        <f t="shared" si="14"/>
        <v>עונתי גלובלי</v>
      </c>
      <c r="D136" s="60" t="str">
        <f>'מק"ט'!$C$8&amp;VLOOKUP(H136,'מק"ט'!$D$2:$E$9,2,FALSE)&amp;VLOOKUP(F136,'מק"ט'!$F$2:$G$11,2,FALSE)&amp;RIGHT(VLOOKUP(G136,'מק"ט'!H:I,2,FALSE),2)</f>
        <v>71150806</v>
      </c>
      <c r="E136" s="74" t="str">
        <f>RIGHT(VLOOKUP(G136,'מק"ט'!H:I,2,FALSE),2)</f>
        <v>06</v>
      </c>
      <c r="F136" s="96" t="s">
        <v>155</v>
      </c>
      <c r="G136" s="105" t="s">
        <v>252</v>
      </c>
      <c r="H136" s="62" t="s">
        <v>24</v>
      </c>
      <c r="I136" s="62"/>
      <c r="J136" s="84"/>
      <c r="K136" s="84"/>
      <c r="L136" s="64"/>
      <c r="M136" s="270">
        <f t="shared" si="11"/>
        <v>130</v>
      </c>
      <c r="P136" s="57">
        <f ca="1">IFERROR(VLOOKUP(D136,תקציב!$B$17:$G$54,6,0),0)</f>
        <v>0</v>
      </c>
      <c r="Q136" s="58">
        <f ca="1">IFERROR(VLOOKUP(D136,תקציב!$B$17:$G$54,5,0),0)</f>
        <v>0</v>
      </c>
      <c r="R136" s="58">
        <f ca="1">IF(ISNUMBER(VLOOKUP(D136,תקציב!$B$17:$G$54,3,FALSE)),VLOOKUP(D136,תקציב!$B$17:$G$54,3,FALSE),1)</f>
        <v>1</v>
      </c>
      <c r="S136" s="58">
        <f t="shared" ca="1" si="12"/>
        <v>0</v>
      </c>
      <c r="T136" s="59">
        <f t="shared" ca="1" si="13"/>
        <v>0</v>
      </c>
      <c r="U136" s="208">
        <f ca="1">IFERROR(VLOOKUP(D136,תקציב!$B$17:$H$54,7,FALSE),0)-T136</f>
        <v>0</v>
      </c>
    </row>
    <row r="137" spans="3:21" ht="15" x14ac:dyDescent="0.2">
      <c r="C137" s="48" t="str">
        <f t="shared" si="14"/>
        <v>תכניות/פרקים</v>
      </c>
      <c r="D137" s="209" t="str">
        <f>'מק"ט'!$C$8&amp;VLOOKUP(H137,'מק"ט'!$D$2:$E$9,2,FALSE)&amp;VLOOKUP(F137,'מק"ט'!$F$2:$G$11,2,FALSE)&amp;RIGHT(VLOOKUP(G137,'מק"ט'!H:I,2,FALSE),2)</f>
        <v>71110802</v>
      </c>
      <c r="E137" s="85" t="str">
        <f>RIGHT(VLOOKUP(G137,'מק"ט'!H:I,2,FALSE),2)</f>
        <v>02</v>
      </c>
      <c r="F137" s="98" t="s">
        <v>155</v>
      </c>
      <c r="G137" s="111" t="s">
        <v>128</v>
      </c>
      <c r="H137" s="67" t="s">
        <v>26</v>
      </c>
      <c r="I137" s="67"/>
      <c r="J137" s="67"/>
      <c r="K137" s="67"/>
      <c r="L137" s="69"/>
      <c r="M137" s="270">
        <f t="shared" si="11"/>
        <v>135</v>
      </c>
      <c r="P137" s="57">
        <f ca="1">IFERROR(VLOOKUP(D137,תקציב!$B$17:$G$54,6,0),0)</f>
        <v>0</v>
      </c>
      <c r="Q137" s="58">
        <f ca="1">IFERROR(VLOOKUP(D137,תקציב!$B$17:$G$54,5,0),0)</f>
        <v>0</v>
      </c>
      <c r="R137" s="58">
        <f ca="1">IF(ISNUMBER(VLOOKUP(D137,תקציב!$B$17:$G$54,3,FALSE)),VLOOKUP(D137,תקציב!$B$17:$G$54,3,FALSE),1)</f>
        <v>1</v>
      </c>
      <c r="S137" s="58">
        <f t="shared" ca="1" si="12"/>
        <v>0</v>
      </c>
      <c r="T137" s="59">
        <f t="shared" ca="1" si="13"/>
        <v>0</v>
      </c>
      <c r="U137" s="208">
        <f ca="1">IFERROR(VLOOKUP(D137,תקציב!$B$17:$H$54,7,FALSE),0)-T137</f>
        <v>0</v>
      </c>
    </row>
    <row r="138" spans="3:21" ht="15" x14ac:dyDescent="0.2">
      <c r="C138" s="48" t="str">
        <f t="shared" si="14"/>
        <v>ימים</v>
      </c>
      <c r="D138" s="209" t="str">
        <f>'מק"ט'!$C$8&amp;VLOOKUP(H138,'מק"ט'!$D$2:$E$9,2,FALSE)&amp;VLOOKUP(F138,'מק"ט'!$F$2:$G$11,2,FALSE)&amp;RIGHT(VLOOKUP(G138,'מק"ט'!H:I,2,FALSE),2)</f>
        <v>71120802</v>
      </c>
      <c r="E138" s="85" t="str">
        <f>RIGHT(VLOOKUP(G138,'מק"ט'!H:I,2,FALSE),2)</f>
        <v>02</v>
      </c>
      <c r="F138" s="98" t="s">
        <v>155</v>
      </c>
      <c r="G138" s="111" t="s">
        <v>128</v>
      </c>
      <c r="H138" s="67" t="s">
        <v>22</v>
      </c>
      <c r="I138" s="67"/>
      <c r="J138" s="67"/>
      <c r="K138" s="67"/>
      <c r="L138" s="69"/>
      <c r="M138" s="270">
        <f t="shared" si="11"/>
        <v>135</v>
      </c>
      <c r="P138" s="57">
        <f ca="1">IFERROR(VLOOKUP(D138,תקציב!$B$17:$G$54,6,0),0)</f>
        <v>0</v>
      </c>
      <c r="Q138" s="58">
        <f ca="1">IFERROR(VLOOKUP(D138,תקציב!$B$17:$G$54,5,0),0)</f>
        <v>0</v>
      </c>
      <c r="R138" s="58">
        <f ca="1">IF(ISNUMBER(VLOOKUP(D138,תקציב!$B$17:$G$54,3,FALSE)),VLOOKUP(D138,תקציב!$B$17:$G$54,3,FALSE),1)</f>
        <v>1</v>
      </c>
      <c r="S138" s="58">
        <f t="shared" ca="1" si="12"/>
        <v>0</v>
      </c>
      <c r="T138" s="59">
        <f t="shared" ca="1" si="13"/>
        <v>0</v>
      </c>
      <c r="U138" s="208">
        <f ca="1">IFERROR(VLOOKUP(D138,תקציב!$B$17:$H$54,7,FALSE),0)-T138</f>
        <v>0</v>
      </c>
    </row>
    <row r="139" spans="3:21" ht="15" x14ac:dyDescent="0.2">
      <c r="C139" s="48" t="str">
        <f t="shared" si="14"/>
        <v>שבועות</v>
      </c>
      <c r="D139" s="209" t="str">
        <f>'מק"ט'!$C$8&amp;VLOOKUP(H139,'מק"ט'!$D$2:$E$9,2,FALSE)&amp;VLOOKUP(F139,'מק"ט'!$F$2:$G$11,2,FALSE)&amp;RIGHT(VLOOKUP(G139,'מק"ט'!H:I,2,FALSE),2)</f>
        <v>71130802</v>
      </c>
      <c r="E139" s="85" t="str">
        <f>RIGHT(VLOOKUP(G139,'מק"ט'!H:I,2,FALSE),2)</f>
        <v>02</v>
      </c>
      <c r="F139" s="98" t="s">
        <v>155</v>
      </c>
      <c r="G139" s="111" t="s">
        <v>128</v>
      </c>
      <c r="H139" s="67" t="s">
        <v>27</v>
      </c>
      <c r="I139" s="67"/>
      <c r="J139" s="67"/>
      <c r="K139" s="67"/>
      <c r="L139" s="69"/>
      <c r="M139" s="270">
        <f t="shared" si="11"/>
        <v>135</v>
      </c>
      <c r="P139" s="57">
        <f ca="1">IFERROR(VLOOKUP(D139,תקציב!$B$17:$G$54,6,0),0)</f>
        <v>0</v>
      </c>
      <c r="Q139" s="58">
        <f ca="1">IFERROR(VLOOKUP(D139,תקציב!$B$17:$G$54,5,0),0)</f>
        <v>0</v>
      </c>
      <c r="R139" s="58">
        <f ca="1">IF(ISNUMBER(VLOOKUP(D139,תקציב!$B$17:$G$54,3,FALSE)),VLOOKUP(D139,תקציב!$B$17:$G$54,3,FALSE),1)</f>
        <v>1</v>
      </c>
      <c r="S139" s="58">
        <f t="shared" ca="1" si="12"/>
        <v>0</v>
      </c>
      <c r="T139" s="59">
        <f t="shared" ca="1" si="13"/>
        <v>0</v>
      </c>
      <c r="U139" s="208">
        <f ca="1">IFERROR(VLOOKUP(D139,תקציב!$B$17:$H$54,7,FALSE),0)-T139</f>
        <v>0</v>
      </c>
    </row>
    <row r="140" spans="3:21" ht="15" x14ac:dyDescent="0.2">
      <c r="C140" s="48" t="str">
        <f t="shared" si="14"/>
        <v>חודשים</v>
      </c>
      <c r="D140" s="209" t="str">
        <f>'מק"ט'!$C$8&amp;VLOOKUP(H140,'מק"ט'!$D$2:$E$9,2,FALSE)&amp;VLOOKUP(F140,'מק"ט'!$F$2:$G$11,2,FALSE)&amp;RIGHT(VLOOKUP(G140,'מק"ט'!H:I,2,FALSE),2)</f>
        <v>71140802</v>
      </c>
      <c r="E140" s="85" t="str">
        <f>RIGHT(VLOOKUP(G140,'מק"ט'!H:I,2,FALSE),2)</f>
        <v>02</v>
      </c>
      <c r="F140" s="98" t="s">
        <v>155</v>
      </c>
      <c r="G140" s="111" t="s">
        <v>128</v>
      </c>
      <c r="H140" s="67" t="s">
        <v>25</v>
      </c>
      <c r="I140" s="67"/>
      <c r="J140" s="67"/>
      <c r="K140" s="67"/>
      <c r="L140" s="69"/>
      <c r="M140" s="270">
        <f t="shared" si="11"/>
        <v>135</v>
      </c>
      <c r="P140" s="57">
        <f ca="1">IFERROR(VLOOKUP(D140,תקציב!$B$17:$G$54,6,0),0)</f>
        <v>0</v>
      </c>
      <c r="Q140" s="58">
        <f ca="1">IFERROR(VLOOKUP(D140,תקציב!$B$17:$G$54,5,0),0)</f>
        <v>0</v>
      </c>
      <c r="R140" s="58">
        <f ca="1">IF(ISNUMBER(VLOOKUP(D140,תקציב!$B$17:$G$54,3,FALSE)),VLOOKUP(D140,תקציב!$B$17:$G$54,3,FALSE),1)</f>
        <v>1</v>
      </c>
      <c r="S140" s="58">
        <f t="shared" ca="1" si="12"/>
        <v>0</v>
      </c>
      <c r="T140" s="59">
        <f t="shared" ca="1" si="13"/>
        <v>0</v>
      </c>
      <c r="U140" s="208">
        <f ca="1">IFERROR(VLOOKUP(D140,תקציב!$B$17:$H$54,7,FALSE),0)-T140</f>
        <v>0</v>
      </c>
    </row>
    <row r="141" spans="3:21" ht="15" x14ac:dyDescent="0.2">
      <c r="C141" s="48" t="str">
        <f t="shared" si="14"/>
        <v>עונתי גלובלי</v>
      </c>
      <c r="D141" s="209" t="str">
        <f>'מק"ט'!$C$8&amp;VLOOKUP(H141,'מק"ט'!$D$2:$E$9,2,FALSE)&amp;VLOOKUP(F141,'מק"ט'!$F$2:$G$11,2,FALSE)&amp;RIGHT(VLOOKUP(G141,'מק"ט'!H:I,2,FALSE),2)</f>
        <v>71150802</v>
      </c>
      <c r="E141" s="85" t="str">
        <f>RIGHT(VLOOKUP(G141,'מק"ט'!H:I,2,FALSE),2)</f>
        <v>02</v>
      </c>
      <c r="F141" s="98" t="s">
        <v>155</v>
      </c>
      <c r="G141" s="111" t="s">
        <v>128</v>
      </c>
      <c r="H141" s="67" t="s">
        <v>24</v>
      </c>
      <c r="I141" s="67"/>
      <c r="J141" s="67"/>
      <c r="K141" s="67"/>
      <c r="L141" s="69"/>
      <c r="M141" s="270">
        <f t="shared" si="11"/>
        <v>135</v>
      </c>
      <c r="P141" s="57">
        <f ca="1">IFERROR(VLOOKUP(D141,תקציב!$B$17:$G$54,6,0),0)</f>
        <v>0</v>
      </c>
      <c r="Q141" s="58">
        <f ca="1">IFERROR(VLOOKUP(D141,תקציב!$B$17:$G$54,5,0),0)</f>
        <v>0</v>
      </c>
      <c r="R141" s="58">
        <f ca="1">IF(ISNUMBER(VLOOKUP(D141,תקציב!$B$17:$G$54,3,FALSE)),VLOOKUP(D141,תקציב!$B$17:$G$54,3,FALSE),1)</f>
        <v>1</v>
      </c>
      <c r="S141" s="58">
        <f t="shared" ca="1" si="12"/>
        <v>0</v>
      </c>
      <c r="T141" s="59">
        <f t="shared" ca="1" si="13"/>
        <v>0</v>
      </c>
      <c r="U141" s="208">
        <f ca="1">IFERROR(VLOOKUP(D141,תקציב!$B$17:$H$54,7,FALSE),0)-T141</f>
        <v>0</v>
      </c>
    </row>
    <row r="142" spans="3:21" ht="15" x14ac:dyDescent="0.2">
      <c r="C142" s="48" t="str">
        <f t="shared" si="14"/>
        <v>תכניות/פרקים</v>
      </c>
      <c r="D142" s="60" t="str">
        <f>'מק"ט'!$C$8&amp;VLOOKUP(H142,'מק"ט'!$D$2:$E$9,2,FALSE)&amp;VLOOKUP(F142,'מק"ט'!$F$2:$G$11,2,FALSE)&amp;RIGHT(VLOOKUP(G142,'מק"ט'!H:I,2,FALSE),2)</f>
        <v>71110803</v>
      </c>
      <c r="E142" s="61" t="str">
        <f>RIGHT(VLOOKUP(G142,'מק"ט'!H:I,2,FALSE),2)</f>
        <v>03</v>
      </c>
      <c r="F142" s="96" t="s">
        <v>155</v>
      </c>
      <c r="G142" s="112" t="s">
        <v>129</v>
      </c>
      <c r="H142" s="62" t="s">
        <v>26</v>
      </c>
      <c r="I142" s="62"/>
      <c r="J142" s="62"/>
      <c r="K142" s="62"/>
      <c r="L142" s="64"/>
      <c r="M142" s="270">
        <f t="shared" si="11"/>
        <v>140</v>
      </c>
      <c r="P142" s="57">
        <f ca="1">IFERROR(VLOOKUP(D142,תקציב!$B$17:$G$54,6,0),0)</f>
        <v>0</v>
      </c>
      <c r="Q142" s="58">
        <f ca="1">IFERROR(VLOOKUP(D142,תקציב!$B$17:$G$54,5,0),0)</f>
        <v>0</v>
      </c>
      <c r="R142" s="58">
        <f ca="1">IF(ISNUMBER(VLOOKUP(D142,תקציב!$B$17:$G$54,3,FALSE)),VLOOKUP(D142,תקציב!$B$17:$G$54,3,FALSE),1)</f>
        <v>1</v>
      </c>
      <c r="S142" s="58">
        <f t="shared" ca="1" si="12"/>
        <v>0</v>
      </c>
      <c r="T142" s="59">
        <f t="shared" ca="1" si="13"/>
        <v>0</v>
      </c>
      <c r="U142" s="208">
        <f ca="1">IFERROR(VLOOKUP(D142,תקציב!$B$17:$H$54,7,FALSE),0)-T142</f>
        <v>0</v>
      </c>
    </row>
    <row r="143" spans="3:21" ht="15" x14ac:dyDescent="0.2">
      <c r="C143" s="48" t="str">
        <f t="shared" si="14"/>
        <v>ימים</v>
      </c>
      <c r="D143" s="60" t="str">
        <f>'מק"ט'!$C$8&amp;VLOOKUP(H143,'מק"ט'!$D$2:$E$9,2,FALSE)&amp;VLOOKUP(F143,'מק"ט'!$F$2:$G$11,2,FALSE)&amp;RIGHT(VLOOKUP(G143,'מק"ט'!H:I,2,FALSE),2)</f>
        <v>71120803</v>
      </c>
      <c r="E143" s="61" t="str">
        <f>RIGHT(VLOOKUP(G143,'מק"ט'!H:I,2,FALSE),2)</f>
        <v>03</v>
      </c>
      <c r="F143" s="96" t="s">
        <v>155</v>
      </c>
      <c r="G143" s="112" t="s">
        <v>129</v>
      </c>
      <c r="H143" s="62" t="s">
        <v>22</v>
      </c>
      <c r="I143" s="62"/>
      <c r="J143" s="62"/>
      <c r="K143" s="62"/>
      <c r="L143" s="64"/>
      <c r="M143" s="270">
        <f t="shared" si="11"/>
        <v>140</v>
      </c>
      <c r="P143" s="57">
        <f ca="1">IFERROR(VLOOKUP(D143,תקציב!$B$17:$G$54,6,0),0)</f>
        <v>0</v>
      </c>
      <c r="Q143" s="58">
        <f ca="1">IFERROR(VLOOKUP(D143,תקציב!$B$17:$G$54,5,0),0)</f>
        <v>0</v>
      </c>
      <c r="R143" s="58">
        <f ca="1">IF(ISNUMBER(VLOOKUP(D143,תקציב!$B$17:$G$54,3,FALSE)),VLOOKUP(D143,תקציב!$B$17:$G$54,3,FALSE),1)</f>
        <v>1</v>
      </c>
      <c r="S143" s="58">
        <f t="shared" ca="1" si="12"/>
        <v>0</v>
      </c>
      <c r="T143" s="59">
        <f t="shared" ca="1" si="13"/>
        <v>0</v>
      </c>
      <c r="U143" s="208">
        <f ca="1">IFERROR(VLOOKUP(D143,תקציב!$B$17:$H$54,7,FALSE),0)-T143</f>
        <v>0</v>
      </c>
    </row>
    <row r="144" spans="3:21" ht="15" x14ac:dyDescent="0.2">
      <c r="C144" s="48" t="str">
        <f t="shared" si="14"/>
        <v>שבועות</v>
      </c>
      <c r="D144" s="60" t="str">
        <f>'מק"ט'!$C$8&amp;VLOOKUP(H144,'מק"ט'!$D$2:$E$9,2,FALSE)&amp;VLOOKUP(F144,'מק"ט'!$F$2:$G$11,2,FALSE)&amp;RIGHT(VLOOKUP(G144,'מק"ט'!H:I,2,FALSE),2)</f>
        <v>71130803</v>
      </c>
      <c r="E144" s="61" t="str">
        <f>RIGHT(VLOOKUP(G144,'מק"ט'!H:I,2,FALSE),2)</f>
        <v>03</v>
      </c>
      <c r="F144" s="96" t="s">
        <v>155</v>
      </c>
      <c r="G144" s="112" t="s">
        <v>129</v>
      </c>
      <c r="H144" s="62" t="s">
        <v>27</v>
      </c>
      <c r="I144" s="62"/>
      <c r="J144" s="62"/>
      <c r="K144" s="62"/>
      <c r="L144" s="64"/>
      <c r="M144" s="270">
        <f t="shared" si="11"/>
        <v>140</v>
      </c>
      <c r="P144" s="57">
        <f ca="1">IFERROR(VLOOKUP(D144,תקציב!$B$17:$G$54,6,0),0)</f>
        <v>0</v>
      </c>
      <c r="Q144" s="58">
        <f ca="1">IFERROR(VLOOKUP(D144,תקציב!$B$17:$G$54,5,0),0)</f>
        <v>0</v>
      </c>
      <c r="R144" s="58">
        <f ca="1">IF(ISNUMBER(VLOOKUP(D144,תקציב!$B$17:$G$54,3,FALSE)),VLOOKUP(D144,תקציב!$B$17:$G$54,3,FALSE),1)</f>
        <v>1</v>
      </c>
      <c r="S144" s="58">
        <f t="shared" ca="1" si="12"/>
        <v>0</v>
      </c>
      <c r="T144" s="59">
        <f t="shared" ca="1" si="13"/>
        <v>0</v>
      </c>
      <c r="U144" s="208">
        <f ca="1">IFERROR(VLOOKUP(D144,תקציב!$B$17:$H$54,7,FALSE),0)-T144</f>
        <v>0</v>
      </c>
    </row>
    <row r="145" spans="3:21" ht="15" x14ac:dyDescent="0.2">
      <c r="C145" s="48" t="str">
        <f t="shared" si="14"/>
        <v>חודשים</v>
      </c>
      <c r="D145" s="60" t="str">
        <f>'מק"ט'!$C$8&amp;VLOOKUP(H145,'מק"ט'!$D$2:$E$9,2,FALSE)&amp;VLOOKUP(F145,'מק"ט'!$F$2:$G$11,2,FALSE)&amp;RIGHT(VLOOKUP(G145,'מק"ט'!H:I,2,FALSE),2)</f>
        <v>71140803</v>
      </c>
      <c r="E145" s="61" t="str">
        <f>RIGHT(VLOOKUP(G145,'מק"ט'!H:I,2,FALSE),2)</f>
        <v>03</v>
      </c>
      <c r="F145" s="96" t="s">
        <v>155</v>
      </c>
      <c r="G145" s="112" t="s">
        <v>129</v>
      </c>
      <c r="H145" s="62" t="s">
        <v>25</v>
      </c>
      <c r="I145" s="62"/>
      <c r="J145" s="62"/>
      <c r="K145" s="62"/>
      <c r="L145" s="64"/>
      <c r="M145" s="270">
        <f t="shared" si="11"/>
        <v>140</v>
      </c>
      <c r="P145" s="57">
        <f ca="1">IFERROR(VLOOKUP(D145,תקציב!$B$17:$G$54,6,0),0)</f>
        <v>0</v>
      </c>
      <c r="Q145" s="58">
        <f ca="1">IFERROR(VLOOKUP(D145,תקציב!$B$17:$G$54,5,0),0)</f>
        <v>0</v>
      </c>
      <c r="R145" s="58">
        <f ca="1">IF(ISNUMBER(VLOOKUP(D145,תקציב!$B$17:$G$54,3,FALSE)),VLOOKUP(D145,תקציב!$B$17:$G$54,3,FALSE),1)</f>
        <v>1</v>
      </c>
      <c r="S145" s="58">
        <f t="shared" ca="1" si="12"/>
        <v>0</v>
      </c>
      <c r="T145" s="59">
        <f t="shared" ca="1" si="13"/>
        <v>0</v>
      </c>
      <c r="U145" s="208">
        <f ca="1">IFERROR(VLOOKUP(D145,תקציב!$B$17:$H$54,7,FALSE),0)-T145</f>
        <v>0</v>
      </c>
    </row>
    <row r="146" spans="3:21" ht="15" x14ac:dyDescent="0.2">
      <c r="C146" s="48" t="str">
        <f t="shared" si="14"/>
        <v>עונתי גלובלי</v>
      </c>
      <c r="D146" s="60" t="str">
        <f>'מק"ט'!$C$8&amp;VLOOKUP(H146,'מק"ט'!$D$2:$E$9,2,FALSE)&amp;VLOOKUP(F146,'מק"ט'!$F$2:$G$11,2,FALSE)&amp;RIGHT(VLOOKUP(G146,'מק"ט'!H:I,2,FALSE),2)</f>
        <v>71150803</v>
      </c>
      <c r="E146" s="61" t="str">
        <f>RIGHT(VLOOKUP(G146,'מק"ט'!H:I,2,FALSE),2)</f>
        <v>03</v>
      </c>
      <c r="F146" s="96" t="s">
        <v>155</v>
      </c>
      <c r="G146" s="112" t="s">
        <v>129</v>
      </c>
      <c r="H146" s="62" t="s">
        <v>24</v>
      </c>
      <c r="I146" s="62"/>
      <c r="J146" s="62"/>
      <c r="K146" s="62"/>
      <c r="L146" s="64"/>
      <c r="M146" s="270">
        <f t="shared" si="11"/>
        <v>140</v>
      </c>
      <c r="P146" s="57">
        <f ca="1">IFERROR(VLOOKUP(D146,תקציב!$B$17:$G$54,6,0),0)</f>
        <v>0</v>
      </c>
      <c r="Q146" s="58">
        <f ca="1">IFERROR(VLOOKUP(D146,תקציב!$B$17:$G$54,5,0),0)</f>
        <v>0</v>
      </c>
      <c r="R146" s="58">
        <f ca="1">IF(ISNUMBER(VLOOKUP(D146,תקציב!$B$17:$G$54,3,FALSE)),VLOOKUP(D146,תקציב!$B$17:$G$54,3,FALSE),1)</f>
        <v>1</v>
      </c>
      <c r="S146" s="58">
        <f t="shared" ca="1" si="12"/>
        <v>0</v>
      </c>
      <c r="T146" s="59">
        <f t="shared" ca="1" si="13"/>
        <v>0</v>
      </c>
      <c r="U146" s="208">
        <f ca="1">IFERROR(VLOOKUP(D146,תקציב!$B$17:$H$54,7,FALSE),0)-T146</f>
        <v>0</v>
      </c>
    </row>
    <row r="147" spans="3:21" ht="15" x14ac:dyDescent="0.2">
      <c r="C147" s="48" t="str">
        <f t="shared" si="14"/>
        <v>תכניות/פרקים</v>
      </c>
      <c r="D147" s="209" t="str">
        <f>'מק"ט'!$C$8&amp;VLOOKUP(H147,'מק"ט'!$D$2:$E$9,2,FALSE)&amp;VLOOKUP(F147,'מק"ט'!$F$2:$G$11,2,FALSE)&amp;RIGHT(VLOOKUP(G147,'מק"ט'!H:I,2,FALSE),2)</f>
        <v>71110805</v>
      </c>
      <c r="E147" s="85" t="str">
        <f>RIGHT(VLOOKUP(G147,'מק"ט'!H:I,2,FALSE),2)</f>
        <v>05</v>
      </c>
      <c r="F147" s="98" t="s">
        <v>155</v>
      </c>
      <c r="G147" s="87" t="s">
        <v>156</v>
      </c>
      <c r="H147" s="67" t="s">
        <v>26</v>
      </c>
      <c r="I147" s="67"/>
      <c r="J147" s="67"/>
      <c r="K147" s="67"/>
      <c r="L147" s="69"/>
      <c r="M147" s="270">
        <f t="shared" si="11"/>
        <v>145</v>
      </c>
      <c r="P147" s="57">
        <f ca="1">IFERROR(VLOOKUP(D147,תקציב!$B$17:$G$54,6,0),0)</f>
        <v>0</v>
      </c>
      <c r="Q147" s="58">
        <f ca="1">IFERROR(VLOOKUP(D147,תקציב!$B$17:$G$54,5,0),0)</f>
        <v>0</v>
      </c>
      <c r="R147" s="58">
        <f ca="1">IF(ISNUMBER(VLOOKUP(D147,תקציב!$B$17:$G$54,3,FALSE)),VLOOKUP(D147,תקציב!$B$17:$G$54,3,FALSE),1)</f>
        <v>1</v>
      </c>
      <c r="S147" s="58">
        <f t="shared" ca="1" si="12"/>
        <v>0</v>
      </c>
      <c r="T147" s="59">
        <f t="shared" ca="1" si="13"/>
        <v>0</v>
      </c>
      <c r="U147" s="208">
        <f ca="1">IFERROR(VLOOKUP(D147,תקציב!$B$17:$H$54,7,FALSE),0)-T147</f>
        <v>0</v>
      </c>
    </row>
    <row r="148" spans="3:21" ht="15" x14ac:dyDescent="0.2">
      <c r="C148" s="48" t="str">
        <f t="shared" si="14"/>
        <v>ימים</v>
      </c>
      <c r="D148" s="209" t="str">
        <f>'מק"ט'!$C$8&amp;VLOOKUP(H148,'מק"ט'!$D$2:$E$9,2,FALSE)&amp;VLOOKUP(F148,'מק"ט'!$F$2:$G$11,2,FALSE)&amp;RIGHT(VLOOKUP(G148,'מק"ט'!H:I,2,FALSE),2)</f>
        <v>71120805</v>
      </c>
      <c r="E148" s="85" t="str">
        <f>RIGHT(VLOOKUP(G148,'מק"ט'!H:I,2,FALSE),2)</f>
        <v>05</v>
      </c>
      <c r="F148" s="98" t="s">
        <v>155</v>
      </c>
      <c r="G148" s="87" t="s">
        <v>156</v>
      </c>
      <c r="H148" s="67" t="s">
        <v>22</v>
      </c>
      <c r="I148" s="67"/>
      <c r="J148" s="67"/>
      <c r="K148" s="67"/>
      <c r="L148" s="69"/>
      <c r="M148" s="270">
        <f t="shared" si="11"/>
        <v>145</v>
      </c>
      <c r="P148" s="57">
        <f ca="1">IFERROR(VLOOKUP(D148,תקציב!$B$17:$G$54,6,0),0)</f>
        <v>0</v>
      </c>
      <c r="Q148" s="58">
        <f ca="1">IFERROR(VLOOKUP(D148,תקציב!$B$17:$G$54,5,0),0)</f>
        <v>0</v>
      </c>
      <c r="R148" s="58">
        <f ca="1">IF(ISNUMBER(VLOOKUP(D148,תקציב!$B$17:$G$54,3,FALSE)),VLOOKUP(D148,תקציב!$B$17:$G$54,3,FALSE),1)</f>
        <v>1</v>
      </c>
      <c r="S148" s="58">
        <f t="shared" ca="1" si="12"/>
        <v>0</v>
      </c>
      <c r="T148" s="59">
        <f t="shared" ca="1" si="13"/>
        <v>0</v>
      </c>
      <c r="U148" s="208">
        <f ca="1">IFERROR(VLOOKUP(D148,תקציב!$B$17:$H$54,7,FALSE),0)-T148</f>
        <v>0</v>
      </c>
    </row>
    <row r="149" spans="3:21" ht="15" x14ac:dyDescent="0.2">
      <c r="C149" s="48" t="str">
        <f t="shared" si="14"/>
        <v>שבועות</v>
      </c>
      <c r="D149" s="209" t="str">
        <f>'מק"ט'!$C$8&amp;VLOOKUP(H149,'מק"ט'!$D$2:$E$9,2,FALSE)&amp;VLOOKUP(F149,'מק"ט'!$F$2:$G$11,2,FALSE)&amp;RIGHT(VLOOKUP(G149,'מק"ט'!H:I,2,FALSE),2)</f>
        <v>71130805</v>
      </c>
      <c r="E149" s="85" t="str">
        <f>RIGHT(VLOOKUP(G149,'מק"ט'!H:I,2,FALSE),2)</f>
        <v>05</v>
      </c>
      <c r="F149" s="98" t="s">
        <v>155</v>
      </c>
      <c r="G149" s="87" t="s">
        <v>156</v>
      </c>
      <c r="H149" s="67" t="s">
        <v>27</v>
      </c>
      <c r="I149" s="67"/>
      <c r="J149" s="67"/>
      <c r="K149" s="67"/>
      <c r="L149" s="69"/>
      <c r="M149" s="270">
        <f t="shared" si="11"/>
        <v>145</v>
      </c>
      <c r="P149" s="57">
        <f ca="1">IFERROR(VLOOKUP(D149,תקציב!$B$17:$G$54,6,0),0)</f>
        <v>0</v>
      </c>
      <c r="Q149" s="58">
        <f ca="1">IFERROR(VLOOKUP(D149,תקציב!$B$17:$G$54,5,0),0)</f>
        <v>0</v>
      </c>
      <c r="R149" s="58">
        <f ca="1">IF(ISNUMBER(VLOOKUP(D149,תקציב!$B$17:$G$54,3,FALSE)),VLOOKUP(D149,תקציב!$B$17:$G$54,3,FALSE),1)</f>
        <v>1</v>
      </c>
      <c r="S149" s="58">
        <f t="shared" ca="1" si="12"/>
        <v>0</v>
      </c>
      <c r="T149" s="59">
        <f t="shared" ca="1" si="13"/>
        <v>0</v>
      </c>
      <c r="U149" s="208">
        <f ca="1">IFERROR(VLOOKUP(D149,תקציב!$B$17:$H$54,7,FALSE),0)-T149</f>
        <v>0</v>
      </c>
    </row>
    <row r="150" spans="3:21" ht="15" x14ac:dyDescent="0.2">
      <c r="C150" s="48" t="str">
        <f t="shared" si="14"/>
        <v>חודשים</v>
      </c>
      <c r="D150" s="209" t="str">
        <f>'מק"ט'!$C$8&amp;VLOOKUP(H150,'מק"ט'!$D$2:$E$9,2,FALSE)&amp;VLOOKUP(F150,'מק"ט'!$F$2:$G$11,2,FALSE)&amp;RIGHT(VLOOKUP(G150,'מק"ט'!H:I,2,FALSE),2)</f>
        <v>71140805</v>
      </c>
      <c r="E150" s="85" t="str">
        <f>RIGHT(VLOOKUP(G150,'מק"ט'!H:I,2,FALSE),2)</f>
        <v>05</v>
      </c>
      <c r="F150" s="98" t="s">
        <v>155</v>
      </c>
      <c r="G150" s="87" t="s">
        <v>156</v>
      </c>
      <c r="H150" s="67" t="s">
        <v>25</v>
      </c>
      <c r="I150" s="67"/>
      <c r="J150" s="67"/>
      <c r="K150" s="67"/>
      <c r="L150" s="69"/>
      <c r="M150" s="270">
        <f t="shared" si="11"/>
        <v>145</v>
      </c>
      <c r="P150" s="57">
        <f ca="1">IFERROR(VLOOKUP(D150,תקציב!$B$17:$G$54,6,0),0)</f>
        <v>0</v>
      </c>
      <c r="Q150" s="58">
        <f ca="1">IFERROR(VLOOKUP(D150,תקציב!$B$17:$G$54,5,0),0)</f>
        <v>0</v>
      </c>
      <c r="R150" s="58">
        <f ca="1">IF(ISNUMBER(VLOOKUP(D150,תקציב!$B$17:$G$54,3,FALSE)),VLOOKUP(D150,תקציב!$B$17:$G$54,3,FALSE),1)</f>
        <v>1</v>
      </c>
      <c r="S150" s="58">
        <f t="shared" ca="1" si="12"/>
        <v>0</v>
      </c>
      <c r="T150" s="59">
        <f t="shared" ca="1" si="13"/>
        <v>0</v>
      </c>
      <c r="U150" s="208">
        <f ca="1">IFERROR(VLOOKUP(D150,תקציב!$B$17:$H$54,7,FALSE),0)-T150</f>
        <v>0</v>
      </c>
    </row>
    <row r="151" spans="3:21" ht="15.75" thickBot="1" x14ac:dyDescent="0.25">
      <c r="C151" s="48" t="str">
        <f t="shared" si="14"/>
        <v>עונתי גלובלי</v>
      </c>
      <c r="D151" s="210" t="str">
        <f>'מק"ט'!$C$8&amp;VLOOKUP(H151,'מק"ט'!$D$2:$E$9,2,FALSE)&amp;VLOOKUP(F151,'מק"ט'!$F$2:$G$11,2,FALSE)&amp;RIGHT(VLOOKUP(G151,'מק"ט'!H:I,2,FALSE),2)</f>
        <v>71150805</v>
      </c>
      <c r="E151" s="89" t="str">
        <f>RIGHT(VLOOKUP(G151,'מק"ט'!H:I,2,FALSE),2)</f>
        <v>05</v>
      </c>
      <c r="F151" s="108" t="s">
        <v>155</v>
      </c>
      <c r="G151" s="221" t="s">
        <v>156</v>
      </c>
      <c r="H151" s="91" t="s">
        <v>24</v>
      </c>
      <c r="I151" s="91"/>
      <c r="J151" s="91"/>
      <c r="K151" s="91"/>
      <c r="L151" s="109"/>
      <c r="M151" s="270">
        <f t="shared" si="11"/>
        <v>145</v>
      </c>
      <c r="P151" s="57">
        <f ca="1">IFERROR(VLOOKUP(D151,תקציב!$B$17:$G$54,6,0),0)</f>
        <v>0</v>
      </c>
      <c r="Q151" s="58">
        <f ca="1">IFERROR(VLOOKUP(D151,תקציב!$B$17:$G$54,5,0),0)</f>
        <v>0</v>
      </c>
      <c r="R151" s="58">
        <f ca="1">IF(ISNUMBER(VLOOKUP(D151,תקציב!$B$17:$G$54,3,FALSE)),VLOOKUP(D151,תקציב!$B$17:$G$54,3,FALSE),1)</f>
        <v>1</v>
      </c>
      <c r="S151" s="58">
        <f t="shared" ca="1" si="12"/>
        <v>0</v>
      </c>
      <c r="T151" s="59">
        <f t="shared" ca="1" si="13"/>
        <v>0</v>
      </c>
      <c r="U151" s="208">
        <f ca="1">IFERROR(VLOOKUP(D151,תקציב!$B$17:$H$54,7,FALSE),0)-T151</f>
        <v>0</v>
      </c>
    </row>
    <row r="152" spans="3:21" ht="15.75" thickBot="1" x14ac:dyDescent="0.25">
      <c r="C152" s="48" t="str">
        <f t="shared" si="14"/>
        <v>עונתי גלובלי</v>
      </c>
      <c r="D152" s="113" t="str">
        <f>'מק"ט'!$C$6&amp;VLOOKUP(H152,'מק"ט'!$D$2:$E$9,2,FALSE)&amp;VLOOKUP(F152,'מק"ט'!$F$2:$G$10,2,FALSE)&amp;E152</f>
        <v>73150900</v>
      </c>
      <c r="E152" s="217" t="s">
        <v>153</v>
      </c>
      <c r="F152" s="222" t="s">
        <v>30</v>
      </c>
      <c r="G152" s="218" t="s">
        <v>30</v>
      </c>
      <c r="H152" s="219" t="s">
        <v>24</v>
      </c>
      <c r="I152" s="218"/>
      <c r="J152" s="218"/>
      <c r="K152" s="218"/>
      <c r="L152" s="220"/>
      <c r="M152" s="270">
        <f t="shared" si="11"/>
        <v>150</v>
      </c>
      <c r="P152" s="57">
        <f ca="1">IFERROR(VLOOKUP(D152,תקציב!$B$17:$G$54,6,0),0)</f>
        <v>0</v>
      </c>
      <c r="Q152" s="58">
        <f ca="1">IFERROR(VLOOKUP(D152,תקציב!$B$17:$G$54,5,0),0)</f>
        <v>0</v>
      </c>
      <c r="R152" s="58">
        <f ca="1">IF(ISNUMBER(VLOOKUP(D152,תקציב!$B$17:$G$54,3,FALSE)),VLOOKUP(D152,תקציב!$B$17:$G$54,3,FALSE),1)</f>
        <v>1</v>
      </c>
      <c r="S152" s="58">
        <f t="shared" ca="1" si="12"/>
        <v>0</v>
      </c>
      <c r="T152" s="59">
        <f t="shared" ca="1" si="13"/>
        <v>0</v>
      </c>
      <c r="U152" s="208">
        <f ca="1">IFERROR(VLOOKUP(D152,תקציב!$B$17:$H$54,7,FALSE),0)-T152</f>
        <v>0</v>
      </c>
    </row>
    <row r="153" spans="3:21" ht="15" thickBot="1" x14ac:dyDescent="0.25">
      <c r="P153" s="57">
        <f ca="1">IFERROR(VLOOKUP(D153,תקציב!$B$17:$G$54,6,0),0)</f>
        <v>0</v>
      </c>
      <c r="Q153" s="58">
        <f ca="1">IFERROR(VLOOKUP(D153,תקציב!$B$17:$G$54,5,0),0)</f>
        <v>0</v>
      </c>
      <c r="R153" s="58">
        <f ca="1">IF(ISNUMBER(VLOOKUP(D153,תקציב!$B$17:$G$54,3,FALSE)),VLOOKUP(D153,תקציב!$B$17:$G$54,3,FALSE),1)</f>
        <v>1</v>
      </c>
      <c r="S153" s="58">
        <f t="shared" ca="1" si="12"/>
        <v>0</v>
      </c>
      <c r="T153" s="59">
        <f t="shared" ca="1" si="13"/>
        <v>0</v>
      </c>
      <c r="U153" s="208">
        <f ca="1">IFERROR(VLOOKUP(D153,תקציב!$B$17:$H$54,7,FALSE),0)-T153</f>
        <v>0</v>
      </c>
    </row>
    <row r="154" spans="3:21" ht="15" thickBot="1" x14ac:dyDescent="0.25">
      <c r="O154" s="118" t="s">
        <v>157</v>
      </c>
      <c r="P154" s="118">
        <f ca="1">SUM(P12:P153)</f>
        <v>0</v>
      </c>
      <c r="Q154" s="119">
        <f ca="1">SUM(Q12:Q153)</f>
        <v>0</v>
      </c>
      <c r="R154" s="119">
        <f ca="1">SUM(R12:R153)</f>
        <v>142</v>
      </c>
      <c r="S154" s="119">
        <f ca="1">SUM(S12:S153)</f>
        <v>0</v>
      </c>
      <c r="T154" s="206">
        <f ca="1">SUM(T2:T153)</f>
        <v>0</v>
      </c>
      <c r="U154" s="208"/>
    </row>
    <row r="155" spans="3:21" ht="15" thickBot="1" x14ac:dyDescent="0.25">
      <c r="O155" s="48" t="s">
        <v>158</v>
      </c>
      <c r="T155" s="207">
        <f ca="1">T154-תקציב!H54</f>
        <v>0</v>
      </c>
      <c r="U155" s="208">
        <f ca="1">IFERROR(VLOOKUP(D155,תקציב!$B$17:$H$54,7,FALSE),0)-T155</f>
        <v>0</v>
      </c>
    </row>
  </sheetData>
  <sheetProtection algorithmName="SHA-512" hashValue="iFmlRaYFfzwUR36YTWWrdkb+SPy1DeTZTcODfSoDQIzziJqn5cP7oMiktrZk8UwZg1CGikvs5gOBBoma/E3ERA==" saltValue="jOeocqvjxsgU2ycxLCWhNA==" spinCount="100000" sheet="1" objects="1" scenarios="1"/>
  <protectedRanges>
    <protectedRange sqref="G137:G151" name="טווח1_12"/>
    <protectedRange sqref="H152" name="טווח1_1"/>
    <protectedRange sqref="G12:G31" name="טווח1_16"/>
    <protectedRange sqref="G32:G61" name="טווח1_18"/>
    <protectedRange sqref="G62:G81 G87:G91" name="טווח1_20"/>
    <protectedRange sqref="G92:G121" name="טווח1_21"/>
    <protectedRange sqref="G122:G136" name="טווח1_23"/>
  </protectedRanges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בחר מהרשימה" xr:uid="{00000000-0002-0000-0400-000000000000}">
          <x14:formula1>
            <xm:f>הגדרות!$G$2</xm:f>
          </x14:formula1>
          <xm:sqref>H152</xm:sqref>
        </x14:dataValidation>
        <x14:dataValidation type="list" allowBlank="1" showInputMessage="1" showErrorMessage="1" xr:uid="{00000000-0002-0000-0400-000001000000}">
          <x14:formula1>
            <xm:f>הגדרות!$A$2:$A$6</xm:f>
          </x14:formula1>
          <xm:sqref>H2:H151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70"/>
  <sheetViews>
    <sheetView rightToLeft="1" workbookViewId="0">
      <selection activeCell="E26" sqref="E26"/>
    </sheetView>
  </sheetViews>
  <sheetFormatPr defaultColWidth="9.125" defaultRowHeight="12.75" x14ac:dyDescent="0.2"/>
  <cols>
    <col min="1" max="1" width="9.125" style="150"/>
    <col min="2" max="3" width="16.75" style="150" customWidth="1"/>
    <col min="4" max="4" width="17.875" style="150" customWidth="1"/>
    <col min="5" max="7" width="16.75" style="150" customWidth="1"/>
    <col min="8" max="8" width="27.125" style="150" customWidth="1"/>
    <col min="9" max="9" width="9.125" style="267"/>
    <col min="10" max="16384" width="9.125" style="150"/>
  </cols>
  <sheetData>
    <row r="1" spans="2:9" s="147" customFormat="1" ht="41.25" customHeight="1" x14ac:dyDescent="0.2">
      <c r="B1" s="145" t="s">
        <v>163</v>
      </c>
      <c r="C1" s="145" t="s">
        <v>164</v>
      </c>
      <c r="D1" s="145" t="s">
        <v>165</v>
      </c>
      <c r="E1" s="145" t="s">
        <v>166</v>
      </c>
      <c r="F1" s="145" t="s">
        <v>167</v>
      </c>
      <c r="G1" s="145" t="s">
        <v>168</v>
      </c>
      <c r="H1" s="146" t="s">
        <v>169</v>
      </c>
      <c r="I1" s="146" t="s">
        <v>170</v>
      </c>
    </row>
    <row r="2" spans="2:9" x14ac:dyDescent="0.2">
      <c r="B2" s="148" t="s">
        <v>171</v>
      </c>
      <c r="C2" s="148">
        <v>77</v>
      </c>
      <c r="D2" s="148" t="s">
        <v>26</v>
      </c>
      <c r="E2" s="148">
        <v>11</v>
      </c>
      <c r="F2" s="148" t="s">
        <v>149</v>
      </c>
      <c r="G2" s="260" t="str">
        <f>TEXT(1,"00")</f>
        <v>01</v>
      </c>
      <c r="H2" s="149" t="s">
        <v>172</v>
      </c>
      <c r="I2" s="261" t="s">
        <v>257</v>
      </c>
    </row>
    <row r="3" spans="2:9" x14ac:dyDescent="0.2">
      <c r="B3" s="151" t="s">
        <v>173</v>
      </c>
      <c r="C3" s="151">
        <v>76</v>
      </c>
      <c r="D3" s="151" t="s">
        <v>22</v>
      </c>
      <c r="E3" s="151">
        <v>12</v>
      </c>
      <c r="F3" s="151" t="s">
        <v>174</v>
      </c>
      <c r="G3" s="262" t="str">
        <f>TEXT(2,"00")</f>
        <v>02</v>
      </c>
      <c r="H3" s="149" t="s">
        <v>17</v>
      </c>
      <c r="I3" s="261" t="s">
        <v>258</v>
      </c>
    </row>
    <row r="4" spans="2:9" x14ac:dyDescent="0.2">
      <c r="B4" s="152" t="s">
        <v>175</v>
      </c>
      <c r="C4" s="152">
        <v>75</v>
      </c>
      <c r="D4" s="152" t="s">
        <v>27</v>
      </c>
      <c r="E4" s="152">
        <v>13</v>
      </c>
      <c r="F4" s="152" t="s">
        <v>150</v>
      </c>
      <c r="G4" s="263" t="str">
        <f>TEXT(3,"00")</f>
        <v>03</v>
      </c>
      <c r="H4" s="149" t="s">
        <v>176</v>
      </c>
      <c r="I4" s="261" t="s">
        <v>259</v>
      </c>
    </row>
    <row r="5" spans="2:9" x14ac:dyDescent="0.2">
      <c r="B5" s="151" t="s">
        <v>177</v>
      </c>
      <c r="C5" s="151">
        <v>74</v>
      </c>
      <c r="D5" s="151" t="s">
        <v>25</v>
      </c>
      <c r="E5" s="151">
        <v>14</v>
      </c>
      <c r="F5" s="151" t="s">
        <v>151</v>
      </c>
      <c r="G5" s="264" t="str">
        <f>TEXT(4,"00")</f>
        <v>04</v>
      </c>
      <c r="H5" s="149" t="s">
        <v>70</v>
      </c>
      <c r="I5" s="261" t="s">
        <v>260</v>
      </c>
    </row>
    <row r="6" spans="2:9" x14ac:dyDescent="0.2">
      <c r="B6" s="152" t="s">
        <v>222</v>
      </c>
      <c r="C6" s="152">
        <v>73</v>
      </c>
      <c r="D6" s="152" t="s">
        <v>24</v>
      </c>
      <c r="E6" s="152">
        <v>15</v>
      </c>
      <c r="F6" s="152" t="s">
        <v>152</v>
      </c>
      <c r="G6" s="263" t="str">
        <f>TEXT(5,"00")</f>
        <v>05</v>
      </c>
      <c r="H6" s="149" t="s">
        <v>178</v>
      </c>
      <c r="I6" s="261" t="s">
        <v>261</v>
      </c>
    </row>
    <row r="7" spans="2:9" x14ac:dyDescent="0.2">
      <c r="B7" s="151" t="s">
        <v>262</v>
      </c>
      <c r="C7" s="151">
        <v>72</v>
      </c>
      <c r="D7" s="151"/>
      <c r="E7" s="151"/>
      <c r="F7" s="151" t="s">
        <v>106</v>
      </c>
      <c r="G7" s="264" t="str">
        <f>TEXT(6,"00")</f>
        <v>06</v>
      </c>
      <c r="H7" s="149" t="s">
        <v>179</v>
      </c>
      <c r="I7" s="261" t="s">
        <v>263</v>
      </c>
    </row>
    <row r="8" spans="2:9" x14ac:dyDescent="0.2">
      <c r="B8" s="152" t="s">
        <v>418</v>
      </c>
      <c r="C8" s="152">
        <v>71</v>
      </c>
      <c r="D8" s="152"/>
      <c r="E8" s="152"/>
      <c r="F8" s="152" t="s">
        <v>123</v>
      </c>
      <c r="G8" s="263" t="str">
        <f>TEXT(7,"00")</f>
        <v>07</v>
      </c>
      <c r="H8" s="149" t="s">
        <v>180</v>
      </c>
      <c r="I8" s="261" t="s">
        <v>264</v>
      </c>
    </row>
    <row r="9" spans="2:9" x14ac:dyDescent="0.2">
      <c r="B9" s="153"/>
      <c r="C9" s="153"/>
      <c r="D9" s="153"/>
      <c r="E9" s="153"/>
      <c r="F9" s="153" t="s">
        <v>155</v>
      </c>
      <c r="G9" s="265" t="str">
        <f>TEXT(8,"00")</f>
        <v>08</v>
      </c>
      <c r="H9" s="149" t="s">
        <v>181</v>
      </c>
      <c r="I9" s="261" t="s">
        <v>265</v>
      </c>
    </row>
    <row r="10" spans="2:9" x14ac:dyDescent="0.2">
      <c r="B10" s="151"/>
      <c r="C10" s="151"/>
      <c r="D10" s="151"/>
      <c r="E10" s="151"/>
      <c r="F10" s="154" t="s">
        <v>30</v>
      </c>
      <c r="G10" s="264" t="str">
        <f>TEXT(9,"00")</f>
        <v>09</v>
      </c>
      <c r="H10" s="149" t="s">
        <v>14</v>
      </c>
      <c r="I10" s="261" t="s">
        <v>266</v>
      </c>
    </row>
    <row r="11" spans="2:9" x14ac:dyDescent="0.2">
      <c r="B11" s="149"/>
      <c r="C11" s="149"/>
      <c r="D11" s="149"/>
      <c r="E11" s="149"/>
      <c r="F11" s="155" t="s">
        <v>267</v>
      </c>
      <c r="G11" s="264" t="str">
        <f>TEXT(10,"00")</f>
        <v>10</v>
      </c>
      <c r="H11" s="149" t="s">
        <v>68</v>
      </c>
      <c r="I11" s="261" t="s">
        <v>268</v>
      </c>
    </row>
    <row r="12" spans="2:9" x14ac:dyDescent="0.2">
      <c r="B12" s="149"/>
      <c r="C12" s="149"/>
      <c r="D12" s="149"/>
      <c r="E12" s="149"/>
      <c r="F12" s="155"/>
      <c r="G12" s="264"/>
      <c r="H12" s="149" t="s">
        <v>73</v>
      </c>
      <c r="I12" s="261" t="s">
        <v>269</v>
      </c>
    </row>
    <row r="13" spans="2:9" x14ac:dyDescent="0.2">
      <c r="B13" s="149"/>
      <c r="C13" s="149"/>
      <c r="D13" s="149"/>
      <c r="E13" s="149"/>
      <c r="F13" s="155"/>
      <c r="G13" s="149"/>
      <c r="H13" s="149" t="s">
        <v>69</v>
      </c>
      <c r="I13" s="261" t="s">
        <v>270</v>
      </c>
    </row>
    <row r="14" spans="2:9" x14ac:dyDescent="0.2">
      <c r="B14" s="149"/>
      <c r="C14" s="149"/>
      <c r="D14" s="149"/>
      <c r="E14" s="149"/>
      <c r="F14" s="155"/>
      <c r="G14" s="149"/>
      <c r="H14" s="149" t="s">
        <v>71</v>
      </c>
      <c r="I14" s="261" t="s">
        <v>271</v>
      </c>
    </row>
    <row r="15" spans="2:9" x14ac:dyDescent="0.2">
      <c r="B15" s="149"/>
      <c r="C15" s="149"/>
      <c r="D15" s="149"/>
      <c r="E15" s="149"/>
      <c r="F15" s="155"/>
      <c r="G15" s="149"/>
      <c r="H15" s="149" t="s">
        <v>72</v>
      </c>
      <c r="I15" s="261" t="s">
        <v>272</v>
      </c>
    </row>
    <row r="16" spans="2:9" x14ac:dyDescent="0.2">
      <c r="B16" s="149"/>
      <c r="C16" s="149"/>
      <c r="D16" s="149"/>
      <c r="E16" s="149"/>
      <c r="F16" s="155"/>
      <c r="G16" s="149"/>
      <c r="H16" s="149" t="s">
        <v>74</v>
      </c>
      <c r="I16" s="261" t="s">
        <v>273</v>
      </c>
    </row>
    <row r="17" spans="2:9" x14ac:dyDescent="0.2">
      <c r="B17" s="149"/>
      <c r="C17" s="149"/>
      <c r="D17" s="149"/>
      <c r="E17" s="149"/>
      <c r="F17" s="155"/>
      <c r="G17" s="149"/>
      <c r="H17" s="149" t="s">
        <v>231</v>
      </c>
      <c r="I17" s="261" t="s">
        <v>274</v>
      </c>
    </row>
    <row r="18" spans="2:9" x14ac:dyDescent="0.2">
      <c r="B18" s="149"/>
      <c r="C18" s="149"/>
      <c r="D18" s="149"/>
      <c r="E18" s="149"/>
      <c r="F18" s="149"/>
      <c r="G18" s="149"/>
      <c r="H18" s="149" t="s">
        <v>182</v>
      </c>
      <c r="I18" s="261" t="s">
        <v>275</v>
      </c>
    </row>
    <row r="19" spans="2:9" x14ac:dyDescent="0.2">
      <c r="B19" s="149"/>
      <c r="C19" s="149"/>
      <c r="D19" s="149"/>
      <c r="E19" s="149"/>
      <c r="F19" s="149"/>
      <c r="G19" s="149"/>
      <c r="H19" s="149" t="s">
        <v>183</v>
      </c>
      <c r="I19" s="261" t="s">
        <v>276</v>
      </c>
    </row>
    <row r="20" spans="2:9" x14ac:dyDescent="0.2">
      <c r="B20" s="149"/>
      <c r="C20" s="149"/>
      <c r="D20" s="149"/>
      <c r="E20" s="149"/>
      <c r="F20" s="149"/>
      <c r="G20" s="149"/>
      <c r="H20" s="149" t="s">
        <v>184</v>
      </c>
      <c r="I20" s="261" t="s">
        <v>277</v>
      </c>
    </row>
    <row r="21" spans="2:9" x14ac:dyDescent="0.2">
      <c r="B21" s="149"/>
      <c r="C21" s="149"/>
      <c r="D21" s="149"/>
      <c r="E21" s="149"/>
      <c r="F21" s="149"/>
      <c r="G21" s="149"/>
      <c r="H21" s="149" t="s">
        <v>185</v>
      </c>
      <c r="I21" s="261" t="s">
        <v>278</v>
      </c>
    </row>
    <row r="22" spans="2:9" x14ac:dyDescent="0.2">
      <c r="B22" s="149"/>
      <c r="C22" s="149"/>
      <c r="D22" s="149"/>
      <c r="E22" s="149"/>
      <c r="F22" s="149"/>
      <c r="G22" s="149"/>
      <c r="H22" s="149" t="s">
        <v>186</v>
      </c>
      <c r="I22" s="261" t="s">
        <v>279</v>
      </c>
    </row>
    <row r="23" spans="2:9" x14ac:dyDescent="0.2">
      <c r="B23" s="149"/>
      <c r="C23" s="149"/>
      <c r="D23" s="149"/>
      <c r="E23" s="149"/>
      <c r="F23" s="149"/>
      <c r="G23" s="149"/>
      <c r="H23" s="149" t="s">
        <v>232</v>
      </c>
      <c r="I23" s="261" t="s">
        <v>280</v>
      </c>
    </row>
    <row r="24" spans="2:9" x14ac:dyDescent="0.2">
      <c r="B24" s="149"/>
      <c r="C24" s="149"/>
      <c r="D24" s="149"/>
      <c r="E24" s="149"/>
      <c r="F24" s="149"/>
      <c r="G24" s="149"/>
      <c r="H24" s="149" t="s">
        <v>219</v>
      </c>
      <c r="I24" s="261" t="s">
        <v>281</v>
      </c>
    </row>
    <row r="25" spans="2:9" x14ac:dyDescent="0.2">
      <c r="B25" s="149"/>
      <c r="C25" s="149"/>
      <c r="D25" s="149"/>
      <c r="E25" s="149"/>
      <c r="F25" s="149"/>
      <c r="G25" s="149"/>
      <c r="H25" s="149" t="s">
        <v>233</v>
      </c>
      <c r="I25" s="261" t="s">
        <v>282</v>
      </c>
    </row>
    <row r="26" spans="2:9" x14ac:dyDescent="0.2">
      <c r="B26" s="149"/>
      <c r="C26" s="149"/>
      <c r="D26" s="149"/>
      <c r="E26" s="149"/>
      <c r="F26" s="149"/>
      <c r="G26" s="149"/>
      <c r="H26" s="149" t="s">
        <v>234</v>
      </c>
      <c r="I26" s="261" t="s">
        <v>283</v>
      </c>
    </row>
    <row r="27" spans="2:9" x14ac:dyDescent="0.2">
      <c r="B27" s="149"/>
      <c r="C27" s="149"/>
      <c r="D27" s="149"/>
      <c r="E27" s="149"/>
      <c r="F27" s="149"/>
      <c r="G27" s="149"/>
      <c r="H27" s="149" t="s">
        <v>235</v>
      </c>
      <c r="I27" s="261" t="s">
        <v>284</v>
      </c>
    </row>
    <row r="28" spans="2:9" x14ac:dyDescent="0.2">
      <c r="B28" s="149"/>
      <c r="C28" s="149"/>
      <c r="D28" s="149"/>
      <c r="E28" s="149"/>
      <c r="F28" s="149"/>
      <c r="G28" s="149"/>
      <c r="H28" s="149" t="s">
        <v>236</v>
      </c>
      <c r="I28" s="261" t="s">
        <v>285</v>
      </c>
    </row>
    <row r="29" spans="2:9" x14ac:dyDescent="0.2">
      <c r="B29" s="149"/>
      <c r="C29" s="149"/>
      <c r="D29" s="149"/>
      <c r="E29" s="149"/>
      <c r="F29" s="149"/>
      <c r="G29" s="149"/>
      <c r="H29" s="149" t="s">
        <v>255</v>
      </c>
      <c r="I29" s="261" t="s">
        <v>420</v>
      </c>
    </row>
    <row r="30" spans="2:9" x14ac:dyDescent="0.2">
      <c r="B30" s="149"/>
      <c r="C30" s="149"/>
      <c r="D30" s="149"/>
      <c r="E30" s="149"/>
      <c r="F30" s="149"/>
      <c r="G30" s="149"/>
      <c r="H30" s="149" t="s">
        <v>245</v>
      </c>
      <c r="I30" s="261" t="s">
        <v>421</v>
      </c>
    </row>
    <row r="31" spans="2:9" x14ac:dyDescent="0.2">
      <c r="B31" s="149"/>
      <c r="C31" s="149"/>
      <c r="D31" s="149"/>
      <c r="E31" s="149"/>
      <c r="F31" s="149"/>
      <c r="G31" s="149"/>
      <c r="H31" s="149" t="s">
        <v>246</v>
      </c>
      <c r="I31" s="261" t="s">
        <v>422</v>
      </c>
    </row>
    <row r="32" spans="2:9" x14ac:dyDescent="0.2">
      <c r="B32" s="149"/>
      <c r="C32" s="149"/>
      <c r="D32" s="149"/>
      <c r="E32" s="149"/>
      <c r="F32" s="149"/>
      <c r="G32" s="149"/>
      <c r="H32" s="149" t="s">
        <v>247</v>
      </c>
      <c r="I32" s="261" t="s">
        <v>423</v>
      </c>
    </row>
    <row r="33" spans="2:21" x14ac:dyDescent="0.2">
      <c r="B33" s="149"/>
      <c r="C33" s="149"/>
      <c r="D33" s="149"/>
      <c r="E33" s="149"/>
      <c r="F33" s="149"/>
      <c r="G33" s="149"/>
      <c r="H33" s="149" t="s">
        <v>254</v>
      </c>
      <c r="I33" s="261" t="s">
        <v>424</v>
      </c>
    </row>
    <row r="34" spans="2:21" x14ac:dyDescent="0.2">
      <c r="B34" s="149"/>
      <c r="C34" s="149"/>
      <c r="D34" s="149"/>
      <c r="E34" s="149"/>
      <c r="F34" s="149"/>
      <c r="G34" s="149"/>
      <c r="H34" s="149" t="s">
        <v>187</v>
      </c>
      <c r="I34" s="261" t="s">
        <v>286</v>
      </c>
    </row>
    <row r="35" spans="2:21" x14ac:dyDescent="0.2">
      <c r="B35" s="149"/>
      <c r="C35" s="149"/>
      <c r="D35" s="149"/>
      <c r="E35" s="149"/>
      <c r="F35" s="149"/>
      <c r="G35" s="149"/>
      <c r="H35" s="149" t="s">
        <v>76</v>
      </c>
      <c r="I35" s="261" t="s">
        <v>287</v>
      </c>
    </row>
    <row r="36" spans="2:21" x14ac:dyDescent="0.2">
      <c r="B36" s="149"/>
      <c r="C36" s="149"/>
      <c r="D36" s="149"/>
      <c r="E36" s="149"/>
      <c r="F36" s="149"/>
      <c r="G36" s="149"/>
      <c r="H36" s="149" t="s">
        <v>77</v>
      </c>
      <c r="I36" s="261" t="s">
        <v>288</v>
      </c>
    </row>
    <row r="37" spans="2:21" x14ac:dyDescent="0.2">
      <c r="B37" s="149"/>
      <c r="C37" s="149"/>
      <c r="D37" s="149"/>
      <c r="E37" s="149"/>
      <c r="F37" s="149"/>
      <c r="G37" s="149"/>
      <c r="H37" s="149" t="s">
        <v>78</v>
      </c>
      <c r="I37" s="261" t="s">
        <v>289</v>
      </c>
    </row>
    <row r="38" spans="2:21" x14ac:dyDescent="0.2">
      <c r="B38" s="149"/>
      <c r="C38" s="149"/>
      <c r="D38" s="149"/>
      <c r="E38" s="149"/>
      <c r="F38" s="149"/>
      <c r="G38" s="149"/>
      <c r="H38" s="149" t="s">
        <v>79</v>
      </c>
      <c r="I38" s="261" t="s">
        <v>290</v>
      </c>
    </row>
    <row r="39" spans="2:21" x14ac:dyDescent="0.2">
      <c r="B39" s="149"/>
      <c r="C39" s="149"/>
      <c r="D39" s="149"/>
      <c r="E39" s="149"/>
      <c r="F39" s="149"/>
      <c r="G39" s="149"/>
      <c r="H39" s="149" t="s">
        <v>11</v>
      </c>
      <c r="I39" s="261" t="s">
        <v>291</v>
      </c>
    </row>
    <row r="40" spans="2:21" x14ac:dyDescent="0.2">
      <c r="B40" s="149"/>
      <c r="C40" s="149"/>
      <c r="D40" s="149"/>
      <c r="E40" s="149"/>
      <c r="F40" s="149"/>
      <c r="G40" s="149"/>
      <c r="H40" s="149" t="s">
        <v>20</v>
      </c>
      <c r="I40" s="261" t="s">
        <v>292</v>
      </c>
    </row>
    <row r="41" spans="2:21" x14ac:dyDescent="0.2">
      <c r="B41" s="149"/>
      <c r="C41" s="149"/>
      <c r="D41" s="149"/>
      <c r="E41" s="149"/>
      <c r="F41" s="149"/>
      <c r="G41" s="149"/>
      <c r="H41" s="149" t="s">
        <v>188</v>
      </c>
      <c r="I41" s="261" t="s">
        <v>293</v>
      </c>
    </row>
    <row r="42" spans="2:21" x14ac:dyDescent="0.2">
      <c r="B42" s="149"/>
      <c r="C42" s="149"/>
      <c r="D42" s="149"/>
      <c r="E42" s="149"/>
      <c r="F42" s="149"/>
      <c r="G42" s="149"/>
      <c r="H42" s="149" t="s">
        <v>189</v>
      </c>
      <c r="I42" s="261" t="s">
        <v>294</v>
      </c>
    </row>
    <row r="43" spans="2:21" x14ac:dyDescent="0.2">
      <c r="B43" s="149"/>
      <c r="C43" s="149"/>
      <c r="D43" s="149"/>
      <c r="E43" s="149"/>
      <c r="F43" s="149"/>
      <c r="G43" s="149"/>
      <c r="H43" s="149" t="s">
        <v>80</v>
      </c>
      <c r="I43" s="261" t="s">
        <v>295</v>
      </c>
    </row>
    <row r="44" spans="2:21" x14ac:dyDescent="0.2">
      <c r="B44" s="149"/>
      <c r="C44" s="149"/>
      <c r="D44" s="149"/>
      <c r="E44" s="149"/>
      <c r="F44" s="149"/>
      <c r="G44" s="149"/>
      <c r="H44" s="149" t="s">
        <v>190</v>
      </c>
      <c r="I44" s="261" t="s">
        <v>296</v>
      </c>
    </row>
    <row r="45" spans="2:21" x14ac:dyDescent="0.2">
      <c r="B45" s="149"/>
      <c r="C45" s="149"/>
      <c r="D45" s="149"/>
      <c r="E45" s="149"/>
      <c r="F45" s="149"/>
      <c r="G45" s="149"/>
      <c r="H45" s="149" t="s">
        <v>81</v>
      </c>
      <c r="I45" s="261" t="s">
        <v>297</v>
      </c>
      <c r="T45" s="48"/>
      <c r="U45" s="156"/>
    </row>
    <row r="46" spans="2:21" x14ac:dyDescent="0.2">
      <c r="B46" s="149"/>
      <c r="C46" s="149"/>
      <c r="D46" s="149"/>
      <c r="E46" s="149"/>
      <c r="F46" s="149"/>
      <c r="G46" s="149"/>
      <c r="H46" s="149" t="s">
        <v>191</v>
      </c>
      <c r="I46" s="261" t="s">
        <v>298</v>
      </c>
      <c r="T46" s="48"/>
      <c r="U46" s="156"/>
    </row>
    <row r="47" spans="2:21" x14ac:dyDescent="0.2">
      <c r="B47" s="149"/>
      <c r="C47" s="149"/>
      <c r="D47" s="149"/>
      <c r="E47" s="149"/>
      <c r="F47" s="149"/>
      <c r="G47" s="149"/>
      <c r="H47" s="149" t="s">
        <v>84</v>
      </c>
      <c r="I47" s="261" t="s">
        <v>299</v>
      </c>
      <c r="T47" s="48"/>
      <c r="U47" s="156"/>
    </row>
    <row r="48" spans="2:21" x14ac:dyDescent="0.2">
      <c r="B48" s="149"/>
      <c r="C48" s="149"/>
      <c r="D48" s="149"/>
      <c r="E48" s="149"/>
      <c r="F48" s="149"/>
      <c r="G48" s="149"/>
      <c r="H48" s="149" t="s">
        <v>85</v>
      </c>
      <c r="I48" s="261" t="s">
        <v>300</v>
      </c>
      <c r="T48" s="48"/>
      <c r="U48" s="156"/>
    </row>
    <row r="49" spans="2:21" x14ac:dyDescent="0.2">
      <c r="B49" s="149"/>
      <c r="C49" s="149"/>
      <c r="D49" s="149"/>
      <c r="E49" s="149"/>
      <c r="F49" s="149"/>
      <c r="G49" s="149"/>
      <c r="H49" s="149" t="s">
        <v>87</v>
      </c>
      <c r="I49" s="261" t="s">
        <v>301</v>
      </c>
      <c r="T49" s="48"/>
      <c r="U49" s="156"/>
    </row>
    <row r="50" spans="2:21" x14ac:dyDescent="0.2">
      <c r="B50" s="149"/>
      <c r="C50" s="149"/>
      <c r="D50" s="149"/>
      <c r="E50" s="149"/>
      <c r="F50" s="149"/>
      <c r="G50" s="149"/>
      <c r="H50" s="149" t="s">
        <v>192</v>
      </c>
      <c r="I50" s="261" t="s">
        <v>302</v>
      </c>
      <c r="T50" s="156"/>
      <c r="U50" s="48"/>
    </row>
    <row r="51" spans="2:21" x14ac:dyDescent="0.2">
      <c r="B51" s="149"/>
      <c r="C51" s="149"/>
      <c r="D51" s="149"/>
      <c r="E51" s="149"/>
      <c r="F51" s="149"/>
      <c r="G51" s="149"/>
      <c r="H51" s="149" t="s">
        <v>88</v>
      </c>
      <c r="I51" s="261" t="s">
        <v>303</v>
      </c>
      <c r="T51" s="156"/>
      <c r="U51" s="48"/>
    </row>
    <row r="52" spans="2:21" x14ac:dyDescent="0.2">
      <c r="B52" s="149"/>
      <c r="C52" s="149"/>
      <c r="D52" s="149"/>
      <c r="E52" s="149"/>
      <c r="F52" s="149"/>
      <c r="G52" s="149"/>
      <c r="H52" s="149" t="s">
        <v>89</v>
      </c>
      <c r="I52" s="261" t="s">
        <v>304</v>
      </c>
      <c r="T52" s="156"/>
      <c r="U52" s="48"/>
    </row>
    <row r="53" spans="2:21" x14ac:dyDescent="0.2">
      <c r="B53" s="149"/>
      <c r="C53" s="149"/>
      <c r="D53" s="149"/>
      <c r="E53" s="149"/>
      <c r="F53" s="149"/>
      <c r="G53" s="149"/>
      <c r="H53" s="149" t="s">
        <v>82</v>
      </c>
      <c r="I53" s="261" t="s">
        <v>305</v>
      </c>
      <c r="T53" s="156"/>
      <c r="U53" s="48"/>
    </row>
    <row r="54" spans="2:21" x14ac:dyDescent="0.2">
      <c r="B54" s="149"/>
      <c r="C54" s="149"/>
      <c r="D54" s="149"/>
      <c r="E54" s="149"/>
      <c r="F54" s="149"/>
      <c r="G54" s="149"/>
      <c r="H54" s="149" t="s">
        <v>83</v>
      </c>
      <c r="I54" s="261" t="s">
        <v>306</v>
      </c>
      <c r="T54" s="156"/>
      <c r="U54" s="48"/>
    </row>
    <row r="55" spans="2:21" x14ac:dyDescent="0.2">
      <c r="B55" s="149"/>
      <c r="C55" s="149"/>
      <c r="D55" s="149"/>
      <c r="E55" s="149"/>
      <c r="F55" s="149"/>
      <c r="G55" s="149"/>
      <c r="H55" s="149" t="s">
        <v>86</v>
      </c>
      <c r="I55" s="261" t="s">
        <v>307</v>
      </c>
      <c r="T55" s="156"/>
      <c r="U55" s="48"/>
    </row>
    <row r="56" spans="2:21" x14ac:dyDescent="0.2">
      <c r="B56" s="149"/>
      <c r="C56" s="149"/>
      <c r="D56" s="149"/>
      <c r="E56" s="149"/>
      <c r="F56" s="149"/>
      <c r="G56" s="149"/>
      <c r="H56" s="149" t="s">
        <v>193</v>
      </c>
      <c r="I56" s="261" t="s">
        <v>308</v>
      </c>
      <c r="T56" s="156"/>
      <c r="U56" s="48"/>
    </row>
    <row r="57" spans="2:21" x14ac:dyDescent="0.2">
      <c r="B57" s="149"/>
      <c r="C57" s="149"/>
      <c r="D57" s="149"/>
      <c r="E57" s="149"/>
      <c r="F57" s="149"/>
      <c r="G57" s="149"/>
      <c r="H57" s="149" t="s">
        <v>244</v>
      </c>
      <c r="I57" s="261" t="s">
        <v>419</v>
      </c>
      <c r="T57" s="156"/>
      <c r="U57" s="48"/>
    </row>
    <row r="58" spans="2:21" x14ac:dyDescent="0.2">
      <c r="B58" s="149"/>
      <c r="C58" s="149"/>
      <c r="D58" s="149"/>
      <c r="E58" s="149"/>
      <c r="F58" s="149"/>
      <c r="G58" s="149"/>
      <c r="H58" s="149" t="s">
        <v>194</v>
      </c>
      <c r="I58" s="261" t="s">
        <v>309</v>
      </c>
      <c r="T58" s="156"/>
      <c r="U58" s="48"/>
    </row>
    <row r="59" spans="2:21" x14ac:dyDescent="0.2">
      <c r="B59" s="149"/>
      <c r="C59" s="149"/>
      <c r="D59" s="149"/>
      <c r="E59" s="149"/>
      <c r="F59" s="149"/>
      <c r="G59" s="149"/>
      <c r="H59" s="149" t="s">
        <v>195</v>
      </c>
      <c r="I59" s="261" t="s">
        <v>310</v>
      </c>
      <c r="T59" s="156"/>
      <c r="U59" s="48"/>
    </row>
    <row r="60" spans="2:21" x14ac:dyDescent="0.2">
      <c r="B60" s="149"/>
      <c r="C60" s="149"/>
      <c r="D60" s="149"/>
      <c r="E60" s="149"/>
      <c r="F60" s="149"/>
      <c r="G60" s="149"/>
      <c r="H60" s="149" t="s">
        <v>196</v>
      </c>
      <c r="I60" s="261" t="s">
        <v>311</v>
      </c>
      <c r="T60" s="156"/>
      <c r="U60" s="48"/>
    </row>
    <row r="61" spans="2:21" x14ac:dyDescent="0.2">
      <c r="B61" s="149"/>
      <c r="C61" s="149"/>
      <c r="D61" s="149"/>
      <c r="E61" s="149"/>
      <c r="F61" s="149"/>
      <c r="G61" s="149"/>
      <c r="H61" s="149" t="s">
        <v>197</v>
      </c>
      <c r="I61" s="261" t="s">
        <v>312</v>
      </c>
      <c r="T61" s="156"/>
      <c r="U61" s="48"/>
    </row>
    <row r="62" spans="2:21" x14ac:dyDescent="0.2">
      <c r="B62" s="149"/>
      <c r="C62" s="149"/>
      <c r="D62" s="149"/>
      <c r="E62" s="149"/>
      <c r="F62" s="149"/>
      <c r="G62" s="149"/>
      <c r="H62" s="149" t="s">
        <v>198</v>
      </c>
      <c r="I62" s="261" t="s">
        <v>313</v>
      </c>
      <c r="T62" s="156"/>
      <c r="U62" s="48"/>
    </row>
    <row r="63" spans="2:21" x14ac:dyDescent="0.2">
      <c r="B63" s="149"/>
      <c r="C63" s="149"/>
      <c r="D63" s="149"/>
      <c r="E63" s="149"/>
      <c r="F63" s="149"/>
      <c r="G63" s="149"/>
      <c r="H63" s="149" t="s">
        <v>199</v>
      </c>
      <c r="I63" s="261" t="s">
        <v>314</v>
      </c>
      <c r="T63" s="156"/>
      <c r="U63" s="48"/>
    </row>
    <row r="64" spans="2:21" x14ac:dyDescent="0.2">
      <c r="B64" s="149"/>
      <c r="C64" s="149"/>
      <c r="D64" s="149"/>
      <c r="E64" s="149"/>
      <c r="F64" s="149"/>
      <c r="G64" s="149"/>
      <c r="H64" s="149" t="s">
        <v>200</v>
      </c>
      <c r="I64" s="261" t="s">
        <v>315</v>
      </c>
      <c r="T64" s="157"/>
      <c r="U64" s="77"/>
    </row>
    <row r="65" spans="2:21" x14ac:dyDescent="0.2">
      <c r="B65" s="149"/>
      <c r="C65" s="149"/>
      <c r="D65" s="149"/>
      <c r="E65" s="149"/>
      <c r="F65" s="149"/>
      <c r="G65" s="149"/>
      <c r="H65" s="149" t="s">
        <v>91</v>
      </c>
      <c r="I65" s="261" t="s">
        <v>316</v>
      </c>
      <c r="T65" s="157"/>
      <c r="U65" s="77"/>
    </row>
    <row r="66" spans="2:21" x14ac:dyDescent="0.2">
      <c r="B66" s="149"/>
      <c r="C66" s="149"/>
      <c r="D66" s="149"/>
      <c r="E66" s="149"/>
      <c r="F66" s="149"/>
      <c r="G66" s="149"/>
      <c r="H66" s="149" t="s">
        <v>201</v>
      </c>
      <c r="I66" s="261" t="s">
        <v>317</v>
      </c>
      <c r="T66" s="48"/>
      <c r="U66" s="48"/>
    </row>
    <row r="67" spans="2:21" x14ac:dyDescent="0.2">
      <c r="B67" s="149"/>
      <c r="C67" s="149"/>
      <c r="D67" s="149"/>
      <c r="E67" s="149"/>
      <c r="F67" s="149"/>
      <c r="G67" s="149"/>
      <c r="H67" s="149" t="s">
        <v>92</v>
      </c>
      <c r="I67" s="261" t="s">
        <v>318</v>
      </c>
      <c r="T67" s="48"/>
      <c r="U67" s="48"/>
    </row>
    <row r="68" spans="2:21" x14ac:dyDescent="0.2">
      <c r="B68" s="149"/>
      <c r="C68" s="149"/>
      <c r="D68" s="149"/>
      <c r="E68" s="149"/>
      <c r="F68" s="149"/>
      <c r="G68" s="149"/>
      <c r="H68" s="149" t="s">
        <v>202</v>
      </c>
      <c r="I68" s="261" t="s">
        <v>319</v>
      </c>
      <c r="T68" s="48"/>
      <c r="U68" s="156"/>
    </row>
    <row r="69" spans="2:21" x14ac:dyDescent="0.2">
      <c r="B69" s="149"/>
      <c r="C69" s="149"/>
      <c r="D69" s="149"/>
      <c r="E69" s="149"/>
      <c r="F69" s="149"/>
      <c r="G69" s="149"/>
      <c r="H69" s="149" t="s">
        <v>93</v>
      </c>
      <c r="I69" s="261" t="s">
        <v>320</v>
      </c>
      <c r="T69" s="156"/>
      <c r="U69" s="48"/>
    </row>
    <row r="70" spans="2:21" x14ac:dyDescent="0.2">
      <c r="B70" s="149"/>
      <c r="C70" s="149"/>
      <c r="D70" s="149"/>
      <c r="E70" s="149"/>
      <c r="F70" s="149"/>
      <c r="G70" s="149"/>
      <c r="H70" s="149" t="s">
        <v>21</v>
      </c>
      <c r="I70" s="261" t="s">
        <v>321</v>
      </c>
      <c r="T70" s="156"/>
      <c r="U70" s="48"/>
    </row>
    <row r="71" spans="2:21" x14ac:dyDescent="0.2">
      <c r="B71" s="149"/>
      <c r="C71" s="149"/>
      <c r="D71" s="149"/>
      <c r="E71" s="149"/>
      <c r="F71" s="149"/>
      <c r="G71" s="149"/>
      <c r="H71" s="149" t="s">
        <v>250</v>
      </c>
      <c r="I71" s="261" t="s">
        <v>425</v>
      </c>
      <c r="T71" s="156"/>
      <c r="U71" s="48"/>
    </row>
    <row r="72" spans="2:21" x14ac:dyDescent="0.2">
      <c r="B72" s="149"/>
      <c r="C72" s="149"/>
      <c r="D72" s="149"/>
      <c r="E72" s="149"/>
      <c r="F72" s="149"/>
      <c r="G72" s="149"/>
      <c r="H72" s="149" t="s">
        <v>203</v>
      </c>
      <c r="I72" s="261" t="s">
        <v>322</v>
      </c>
      <c r="T72" s="156"/>
      <c r="U72" s="48"/>
    </row>
    <row r="73" spans="2:21" x14ac:dyDescent="0.2">
      <c r="B73" s="149"/>
      <c r="C73" s="149"/>
      <c r="D73" s="149"/>
      <c r="E73" s="149"/>
      <c r="F73" s="149"/>
      <c r="G73" s="149"/>
      <c r="H73" s="149" t="s">
        <v>94</v>
      </c>
      <c r="I73" s="261" t="s">
        <v>323</v>
      </c>
      <c r="T73" s="156"/>
      <c r="U73" s="48"/>
    </row>
    <row r="74" spans="2:21" x14ac:dyDescent="0.2">
      <c r="B74" s="149"/>
      <c r="C74" s="149"/>
      <c r="D74" s="149"/>
      <c r="E74" s="149"/>
      <c r="F74" s="149"/>
      <c r="G74" s="149"/>
      <c r="H74" s="149" t="s">
        <v>204</v>
      </c>
      <c r="I74" s="261" t="s">
        <v>324</v>
      </c>
      <c r="T74" s="156"/>
      <c r="U74" s="48"/>
    </row>
    <row r="75" spans="2:21" x14ac:dyDescent="0.2">
      <c r="B75" s="149"/>
      <c r="C75" s="149"/>
      <c r="D75" s="149"/>
      <c r="E75" s="149"/>
      <c r="F75" s="149"/>
      <c r="G75" s="149"/>
      <c r="H75" s="149" t="s">
        <v>205</v>
      </c>
      <c r="I75" s="261" t="s">
        <v>325</v>
      </c>
      <c r="T75" s="48"/>
      <c r="U75" s="48"/>
    </row>
    <row r="76" spans="2:21" x14ac:dyDescent="0.2">
      <c r="B76" s="149"/>
      <c r="C76" s="149"/>
      <c r="D76" s="149"/>
      <c r="E76" s="149"/>
      <c r="F76" s="149"/>
      <c r="G76" s="149"/>
      <c r="H76" s="149" t="s">
        <v>206</v>
      </c>
      <c r="I76" s="261" t="s">
        <v>326</v>
      </c>
      <c r="T76" s="48"/>
      <c r="U76" s="48"/>
    </row>
    <row r="77" spans="2:21" x14ac:dyDescent="0.2">
      <c r="B77" s="149"/>
      <c r="C77" s="149"/>
      <c r="D77" s="149"/>
      <c r="E77" s="149"/>
      <c r="F77" s="149"/>
      <c r="G77" s="149"/>
      <c r="H77" s="149" t="s">
        <v>207</v>
      </c>
      <c r="I77" s="261" t="s">
        <v>327</v>
      </c>
      <c r="T77" s="48"/>
      <c r="U77" s="48"/>
    </row>
    <row r="78" spans="2:21" x14ac:dyDescent="0.2">
      <c r="B78" s="149"/>
      <c r="C78" s="149"/>
      <c r="D78" s="149"/>
      <c r="E78" s="149"/>
      <c r="F78" s="149"/>
      <c r="G78" s="149"/>
      <c r="H78" s="149" t="s">
        <v>208</v>
      </c>
      <c r="I78" s="261" t="s">
        <v>328</v>
      </c>
      <c r="T78" s="48"/>
      <c r="U78" s="48"/>
    </row>
    <row r="79" spans="2:21" x14ac:dyDescent="0.2">
      <c r="B79" s="149"/>
      <c r="C79" s="149"/>
      <c r="D79" s="149"/>
      <c r="E79" s="149"/>
      <c r="F79" s="149"/>
      <c r="G79" s="149"/>
      <c r="H79" s="149" t="s">
        <v>100</v>
      </c>
      <c r="I79" s="261" t="s">
        <v>329</v>
      </c>
      <c r="T79" s="48"/>
      <c r="U79" s="48"/>
    </row>
    <row r="80" spans="2:21" x14ac:dyDescent="0.2">
      <c r="B80" s="149"/>
      <c r="C80" s="149"/>
      <c r="D80" s="149"/>
      <c r="E80" s="149"/>
      <c r="F80" s="149"/>
      <c r="G80" s="149"/>
      <c r="H80" s="149" t="s">
        <v>209</v>
      </c>
      <c r="I80" s="261" t="s">
        <v>330</v>
      </c>
      <c r="T80" s="48"/>
      <c r="U80" s="48"/>
    </row>
    <row r="81" spans="1:21" x14ac:dyDescent="0.2">
      <c r="B81" s="149"/>
      <c r="C81" s="149"/>
      <c r="D81" s="149"/>
      <c r="E81" s="149"/>
      <c r="F81" s="149"/>
      <c r="G81" s="149"/>
      <c r="H81" s="149" t="s">
        <v>102</v>
      </c>
      <c r="I81" s="261" t="s">
        <v>331</v>
      </c>
      <c r="T81" s="48"/>
      <c r="U81" s="48"/>
    </row>
    <row r="82" spans="1:21" x14ac:dyDescent="0.2">
      <c r="B82" s="149"/>
      <c r="C82" s="149"/>
      <c r="D82" s="149"/>
      <c r="E82" s="149"/>
      <c r="F82" s="149"/>
      <c r="G82" s="149"/>
      <c r="H82" s="149" t="s">
        <v>106</v>
      </c>
      <c r="I82" s="261" t="s">
        <v>332</v>
      </c>
      <c r="T82" s="48"/>
      <c r="U82" s="48"/>
    </row>
    <row r="83" spans="1:21" x14ac:dyDescent="0.2">
      <c r="B83" s="149"/>
      <c r="C83" s="149"/>
      <c r="D83" s="149"/>
      <c r="E83" s="149"/>
      <c r="F83" s="149"/>
      <c r="G83" s="149"/>
      <c r="H83" s="149" t="s">
        <v>237</v>
      </c>
      <c r="I83" s="261" t="s">
        <v>333</v>
      </c>
      <c r="T83" s="48"/>
      <c r="U83" s="48"/>
    </row>
    <row r="84" spans="1:21" x14ac:dyDescent="0.2">
      <c r="B84" s="149"/>
      <c r="C84" s="149"/>
      <c r="D84" s="149"/>
      <c r="E84" s="149"/>
      <c r="F84" s="149"/>
      <c r="G84" s="149"/>
      <c r="H84" s="149" t="s">
        <v>210</v>
      </c>
      <c r="I84" s="261" t="s">
        <v>334</v>
      </c>
      <c r="T84" s="48"/>
      <c r="U84" s="48"/>
    </row>
    <row r="85" spans="1:21" x14ac:dyDescent="0.2">
      <c r="B85" s="149"/>
      <c r="C85" s="149"/>
      <c r="D85" s="149"/>
      <c r="E85" s="149"/>
      <c r="F85" s="149"/>
      <c r="G85" s="149"/>
      <c r="H85" s="149" t="s">
        <v>95</v>
      </c>
      <c r="I85" s="261" t="s">
        <v>335</v>
      </c>
      <c r="T85" s="48"/>
      <c r="U85" s="48"/>
    </row>
    <row r="86" spans="1:21" x14ac:dyDescent="0.2">
      <c r="B86" s="149"/>
      <c r="C86" s="149"/>
      <c r="D86" s="149"/>
      <c r="E86" s="149"/>
      <c r="F86" s="149"/>
      <c r="G86" s="149"/>
      <c r="H86" s="149" t="s">
        <v>96</v>
      </c>
      <c r="I86" s="261" t="s">
        <v>336</v>
      </c>
      <c r="T86" s="48"/>
      <c r="U86" s="48"/>
    </row>
    <row r="87" spans="1:21" x14ac:dyDescent="0.2">
      <c r="B87" s="149"/>
      <c r="C87" s="149"/>
      <c r="D87" s="149"/>
      <c r="E87" s="149"/>
      <c r="F87" s="149"/>
      <c r="G87" s="149"/>
      <c r="H87" s="149" t="s">
        <v>97</v>
      </c>
      <c r="I87" s="261" t="s">
        <v>337</v>
      </c>
      <c r="T87" s="48"/>
      <c r="U87" s="48"/>
    </row>
    <row r="88" spans="1:21" x14ac:dyDescent="0.2">
      <c r="B88" s="149"/>
      <c r="C88" s="149"/>
      <c r="D88" s="149"/>
      <c r="E88" s="149"/>
      <c r="F88" s="149"/>
      <c r="G88" s="149"/>
      <c r="H88" s="149" t="s">
        <v>101</v>
      </c>
      <c r="I88" s="261" t="s">
        <v>338</v>
      </c>
      <c r="T88" s="156"/>
      <c r="U88" s="156"/>
    </row>
    <row r="89" spans="1:21" x14ac:dyDescent="0.2">
      <c r="B89" s="149"/>
      <c r="C89" s="149"/>
      <c r="D89" s="149"/>
      <c r="E89" s="149"/>
      <c r="F89" s="149"/>
      <c r="G89" s="149"/>
      <c r="H89" s="149" t="s">
        <v>98</v>
      </c>
      <c r="I89" s="261" t="s">
        <v>339</v>
      </c>
      <c r="T89" s="156"/>
      <c r="U89" s="156"/>
    </row>
    <row r="90" spans="1:21" x14ac:dyDescent="0.2">
      <c r="B90" s="149"/>
      <c r="C90" s="149"/>
      <c r="D90" s="149"/>
      <c r="E90" s="149"/>
      <c r="F90" s="149"/>
      <c r="G90" s="149"/>
      <c r="H90" s="149" t="s">
        <v>99</v>
      </c>
      <c r="I90" s="261" t="s">
        <v>340</v>
      </c>
      <c r="T90" s="156"/>
      <c r="U90" s="156"/>
    </row>
    <row r="91" spans="1:21" x14ac:dyDescent="0.2">
      <c r="B91" s="149"/>
      <c r="C91" s="149"/>
      <c r="D91" s="149"/>
      <c r="E91" s="149"/>
      <c r="F91" s="149"/>
      <c r="G91" s="149"/>
      <c r="H91" s="149" t="s">
        <v>103</v>
      </c>
      <c r="I91" s="261" t="s">
        <v>341</v>
      </c>
      <c r="T91" s="156"/>
      <c r="U91" s="156"/>
    </row>
    <row r="92" spans="1:21" x14ac:dyDescent="0.2">
      <c r="B92" s="149"/>
      <c r="C92" s="149"/>
      <c r="D92" s="149"/>
      <c r="E92" s="149"/>
      <c r="F92" s="149"/>
      <c r="G92" s="149"/>
      <c r="H92" s="149" t="s">
        <v>104</v>
      </c>
      <c r="I92" s="261" t="s">
        <v>342</v>
      </c>
      <c r="T92" s="156"/>
      <c r="U92" s="156"/>
    </row>
    <row r="93" spans="1:21" x14ac:dyDescent="0.2">
      <c r="B93" s="149"/>
      <c r="C93" s="149"/>
      <c r="D93" s="149"/>
      <c r="E93" s="149"/>
      <c r="F93" s="149"/>
      <c r="G93" s="149"/>
      <c r="H93" s="149" t="s">
        <v>105</v>
      </c>
      <c r="I93" s="261" t="s">
        <v>343</v>
      </c>
      <c r="T93" s="156"/>
      <c r="U93" s="156"/>
    </row>
    <row r="94" spans="1:21" x14ac:dyDescent="0.2">
      <c r="A94" s="158"/>
      <c r="B94" s="149"/>
      <c r="C94" s="149"/>
      <c r="D94" s="149"/>
      <c r="E94" s="149"/>
      <c r="F94" s="149"/>
      <c r="G94" s="149"/>
      <c r="H94" s="149" t="s">
        <v>223</v>
      </c>
      <c r="I94" s="261" t="s">
        <v>344</v>
      </c>
      <c r="T94" s="156"/>
      <c r="U94" s="156"/>
    </row>
    <row r="95" spans="1:21" x14ac:dyDescent="0.2">
      <c r="B95" s="149"/>
      <c r="C95" s="149"/>
      <c r="D95" s="149"/>
      <c r="E95" s="149"/>
      <c r="F95" s="149"/>
      <c r="G95" s="149"/>
      <c r="H95" s="149" t="s">
        <v>224</v>
      </c>
      <c r="I95" s="261" t="s">
        <v>345</v>
      </c>
      <c r="T95" s="156"/>
      <c r="U95" s="156"/>
    </row>
    <row r="96" spans="1:21" x14ac:dyDescent="0.2">
      <c r="B96" s="149"/>
      <c r="C96" s="149"/>
      <c r="D96" s="149"/>
      <c r="E96" s="149"/>
      <c r="F96" s="149"/>
      <c r="G96" s="149"/>
      <c r="H96" s="149" t="s">
        <v>225</v>
      </c>
      <c r="I96" s="261" t="s">
        <v>346</v>
      </c>
    </row>
    <row r="97" spans="2:9" x14ac:dyDescent="0.2">
      <c r="B97" s="149"/>
      <c r="C97" s="149"/>
      <c r="D97" s="149"/>
      <c r="E97" s="149"/>
      <c r="F97" s="149"/>
      <c r="G97" s="149"/>
      <c r="H97" s="149" t="s">
        <v>226</v>
      </c>
      <c r="I97" s="261" t="s">
        <v>347</v>
      </c>
    </row>
    <row r="98" spans="2:9" x14ac:dyDescent="0.2">
      <c r="B98" s="149"/>
      <c r="C98" s="149"/>
      <c r="D98" s="149"/>
      <c r="E98" s="149"/>
      <c r="F98" s="149"/>
      <c r="G98" s="149"/>
      <c r="H98" s="149" t="s">
        <v>227</v>
      </c>
      <c r="I98" s="261" t="s">
        <v>348</v>
      </c>
    </row>
    <row r="99" spans="2:9" x14ac:dyDescent="0.2">
      <c r="B99" s="149"/>
      <c r="C99" s="149"/>
      <c r="D99" s="149"/>
      <c r="E99" s="149"/>
      <c r="F99" s="149"/>
      <c r="G99" s="149"/>
      <c r="H99" s="149" t="s">
        <v>228</v>
      </c>
      <c r="I99" s="261" t="s">
        <v>349</v>
      </c>
    </row>
    <row r="100" spans="2:9" x14ac:dyDescent="0.2">
      <c r="B100" s="149"/>
      <c r="C100" s="149"/>
      <c r="D100" s="149"/>
      <c r="E100" s="149"/>
      <c r="F100" s="149"/>
      <c r="G100" s="149"/>
      <c r="H100" s="149" t="s">
        <v>238</v>
      </c>
      <c r="I100" s="261" t="s">
        <v>350</v>
      </c>
    </row>
    <row r="101" spans="2:9" x14ac:dyDescent="0.2">
      <c r="B101" s="149"/>
      <c r="C101" s="149"/>
      <c r="D101" s="149"/>
      <c r="E101" s="149"/>
      <c r="F101" s="149"/>
      <c r="G101" s="149"/>
      <c r="H101" s="149" t="s">
        <v>239</v>
      </c>
      <c r="I101" s="261" t="s">
        <v>351</v>
      </c>
    </row>
    <row r="102" spans="2:9" x14ac:dyDescent="0.2">
      <c r="B102" s="149"/>
      <c r="C102" s="149"/>
      <c r="D102" s="149"/>
      <c r="E102" s="149"/>
      <c r="F102" s="149"/>
      <c r="G102" s="149"/>
      <c r="H102" s="149" t="s">
        <v>240</v>
      </c>
      <c r="I102" s="261" t="s">
        <v>352</v>
      </c>
    </row>
    <row r="103" spans="2:9" x14ac:dyDescent="0.2">
      <c r="B103" s="149"/>
      <c r="C103" s="149"/>
      <c r="D103" s="149"/>
      <c r="E103" s="149"/>
      <c r="F103" s="149"/>
      <c r="G103" s="149"/>
      <c r="H103" s="149" t="s">
        <v>241</v>
      </c>
      <c r="I103" s="261" t="s">
        <v>353</v>
      </c>
    </row>
    <row r="104" spans="2:9" x14ac:dyDescent="0.2">
      <c r="B104" s="149"/>
      <c r="C104" s="149"/>
      <c r="D104" s="149"/>
      <c r="E104" s="149"/>
      <c r="F104" s="149"/>
      <c r="G104" s="149"/>
      <c r="H104" s="149" t="s">
        <v>108</v>
      </c>
      <c r="I104" s="261" t="s">
        <v>354</v>
      </c>
    </row>
    <row r="105" spans="2:9" x14ac:dyDescent="0.2">
      <c r="B105" s="149"/>
      <c r="C105" s="149"/>
      <c r="D105" s="149"/>
      <c r="E105" s="149"/>
      <c r="F105" s="149"/>
      <c r="G105" s="149"/>
      <c r="H105" s="149" t="s">
        <v>110</v>
      </c>
      <c r="I105" s="261" t="s">
        <v>355</v>
      </c>
    </row>
    <row r="106" spans="2:9" x14ac:dyDescent="0.2">
      <c r="B106" s="149"/>
      <c r="C106" s="149"/>
      <c r="D106" s="149"/>
      <c r="E106" s="149"/>
      <c r="F106" s="149"/>
      <c r="G106" s="149"/>
      <c r="H106" s="149" t="s">
        <v>211</v>
      </c>
      <c r="I106" s="261" t="s">
        <v>356</v>
      </c>
    </row>
    <row r="107" spans="2:9" x14ac:dyDescent="0.2">
      <c r="B107" s="149"/>
      <c r="C107" s="149"/>
      <c r="D107" s="149"/>
      <c r="E107" s="149"/>
      <c r="F107" s="149"/>
      <c r="G107" s="149"/>
      <c r="H107" s="149" t="s">
        <v>111</v>
      </c>
      <c r="I107" s="261" t="s">
        <v>357</v>
      </c>
    </row>
    <row r="108" spans="2:9" x14ac:dyDescent="0.2">
      <c r="B108" s="149"/>
      <c r="C108" s="149"/>
      <c r="D108" s="149"/>
      <c r="E108" s="149"/>
      <c r="F108" s="149"/>
      <c r="G108" s="149"/>
      <c r="H108" s="149" t="s">
        <v>112</v>
      </c>
      <c r="I108" s="261" t="s">
        <v>358</v>
      </c>
    </row>
    <row r="109" spans="2:9" x14ac:dyDescent="0.2">
      <c r="B109" s="149"/>
      <c r="C109" s="149"/>
      <c r="D109" s="149"/>
      <c r="E109" s="149"/>
      <c r="F109" s="149"/>
      <c r="G109" s="149"/>
      <c r="H109" s="149" t="s">
        <v>212</v>
      </c>
      <c r="I109" s="261" t="s">
        <v>359</v>
      </c>
    </row>
    <row r="110" spans="2:9" x14ac:dyDescent="0.2">
      <c r="B110" s="149"/>
      <c r="C110" s="149"/>
      <c r="D110" s="149"/>
      <c r="E110" s="149"/>
      <c r="F110" s="149"/>
      <c r="G110" s="149"/>
      <c r="H110" s="149" t="s">
        <v>113</v>
      </c>
      <c r="I110" s="261" t="s">
        <v>360</v>
      </c>
    </row>
    <row r="111" spans="2:9" x14ac:dyDescent="0.2">
      <c r="B111" s="149"/>
      <c r="C111" s="149"/>
      <c r="D111" s="149"/>
      <c r="E111" s="149"/>
      <c r="F111" s="149"/>
      <c r="G111" s="149"/>
      <c r="H111" s="149" t="s">
        <v>114</v>
      </c>
      <c r="I111" s="261" t="s">
        <v>361</v>
      </c>
    </row>
    <row r="112" spans="2:9" x14ac:dyDescent="0.2">
      <c r="B112" s="149"/>
      <c r="C112" s="149"/>
      <c r="D112" s="149"/>
      <c r="E112" s="149"/>
      <c r="F112" s="149"/>
      <c r="G112" s="149"/>
      <c r="H112" s="149" t="s">
        <v>116</v>
      </c>
      <c r="I112" s="261" t="s">
        <v>362</v>
      </c>
    </row>
    <row r="113" spans="2:9" x14ac:dyDescent="0.2">
      <c r="B113" s="149"/>
      <c r="C113" s="149"/>
      <c r="D113" s="149"/>
      <c r="E113" s="149"/>
      <c r="F113" s="149"/>
      <c r="G113" s="149"/>
      <c r="H113" s="149" t="s">
        <v>242</v>
      </c>
      <c r="I113" s="261" t="s">
        <v>363</v>
      </c>
    </row>
    <row r="114" spans="2:9" x14ac:dyDescent="0.2">
      <c r="B114" s="149"/>
      <c r="C114" s="149"/>
      <c r="D114" s="149"/>
      <c r="E114" s="149"/>
      <c r="F114" s="149"/>
      <c r="G114" s="149"/>
      <c r="H114" s="149" t="s">
        <v>119</v>
      </c>
      <c r="I114" s="261" t="s">
        <v>364</v>
      </c>
    </row>
    <row r="115" spans="2:9" x14ac:dyDescent="0.2">
      <c r="B115" s="149"/>
      <c r="C115" s="149"/>
      <c r="D115" s="149"/>
      <c r="E115" s="149"/>
      <c r="F115" s="149"/>
      <c r="G115" s="149"/>
      <c r="H115" s="149" t="s">
        <v>120</v>
      </c>
      <c r="I115" s="261" t="s">
        <v>365</v>
      </c>
    </row>
    <row r="116" spans="2:9" x14ac:dyDescent="0.2">
      <c r="B116" s="149"/>
      <c r="C116" s="149"/>
      <c r="D116" s="149"/>
      <c r="E116" s="149"/>
      <c r="F116" s="149"/>
      <c r="G116" s="149"/>
      <c r="H116" s="149" t="s">
        <v>154</v>
      </c>
      <c r="I116" s="261" t="s">
        <v>366</v>
      </c>
    </row>
    <row r="117" spans="2:9" x14ac:dyDescent="0.2">
      <c r="B117" s="149"/>
      <c r="C117" s="149"/>
      <c r="D117" s="149"/>
      <c r="E117" s="149"/>
      <c r="F117" s="149"/>
      <c r="G117" s="149"/>
      <c r="H117" s="149" t="s">
        <v>109</v>
      </c>
      <c r="I117" s="261" t="s">
        <v>367</v>
      </c>
    </row>
    <row r="118" spans="2:9" x14ac:dyDescent="0.2">
      <c r="B118" s="149"/>
      <c r="C118" s="149"/>
      <c r="D118" s="149"/>
      <c r="E118" s="149"/>
      <c r="F118" s="149"/>
      <c r="G118" s="149"/>
      <c r="H118" s="149" t="s">
        <v>213</v>
      </c>
      <c r="I118" s="261" t="s">
        <v>368</v>
      </c>
    </row>
    <row r="119" spans="2:9" x14ac:dyDescent="0.2">
      <c r="B119" s="149"/>
      <c r="C119" s="149"/>
      <c r="D119" s="149"/>
      <c r="E119" s="149"/>
      <c r="F119" s="149"/>
      <c r="G119" s="149"/>
      <c r="H119" s="149" t="s">
        <v>115</v>
      </c>
      <c r="I119" s="261" t="s">
        <v>369</v>
      </c>
    </row>
    <row r="120" spans="2:9" x14ac:dyDescent="0.2">
      <c r="B120" s="149"/>
      <c r="C120" s="149"/>
      <c r="D120" s="149"/>
      <c r="E120" s="149"/>
      <c r="F120" s="149"/>
      <c r="G120" s="149"/>
      <c r="H120" s="149" t="s">
        <v>117</v>
      </c>
      <c r="I120" s="261" t="s">
        <v>370</v>
      </c>
    </row>
    <row r="121" spans="2:9" x14ac:dyDescent="0.2">
      <c r="B121" s="149"/>
      <c r="C121" s="149"/>
      <c r="D121" s="149"/>
      <c r="E121" s="149"/>
      <c r="F121" s="149"/>
      <c r="G121" s="149"/>
      <c r="H121" s="149" t="s">
        <v>121</v>
      </c>
      <c r="I121" s="261" t="s">
        <v>371</v>
      </c>
    </row>
    <row r="122" spans="2:9" x14ac:dyDescent="0.2">
      <c r="B122" s="149"/>
      <c r="C122" s="149"/>
      <c r="D122" s="149"/>
      <c r="E122" s="149"/>
      <c r="F122" s="149"/>
      <c r="G122" s="149"/>
      <c r="H122" s="149" t="s">
        <v>118</v>
      </c>
      <c r="I122" s="261" t="s">
        <v>372</v>
      </c>
    </row>
    <row r="123" spans="2:9" x14ac:dyDescent="0.2">
      <c r="B123" s="149"/>
      <c r="C123" s="149"/>
      <c r="D123" s="149"/>
      <c r="E123" s="149"/>
      <c r="F123" s="149"/>
      <c r="G123" s="149"/>
      <c r="H123" s="149" t="s">
        <v>221</v>
      </c>
      <c r="I123" s="261" t="s">
        <v>373</v>
      </c>
    </row>
    <row r="124" spans="2:9" x14ac:dyDescent="0.2">
      <c r="B124" s="149"/>
      <c r="C124" s="149"/>
      <c r="D124" s="149"/>
      <c r="E124" s="149"/>
      <c r="F124" s="149"/>
      <c r="G124" s="149"/>
      <c r="H124" s="149" t="s">
        <v>251</v>
      </c>
      <c r="I124" s="261" t="s">
        <v>426</v>
      </c>
    </row>
    <row r="125" spans="2:9" x14ac:dyDescent="0.2">
      <c r="B125" s="149"/>
      <c r="C125" s="149"/>
      <c r="D125" s="149"/>
      <c r="E125" s="149"/>
      <c r="F125" s="149"/>
      <c r="G125" s="149"/>
      <c r="H125" s="149" t="s">
        <v>256</v>
      </c>
      <c r="I125" s="261" t="s">
        <v>427</v>
      </c>
    </row>
    <row r="126" spans="2:9" x14ac:dyDescent="0.2">
      <c r="B126" s="149"/>
      <c r="C126" s="149"/>
      <c r="D126" s="149"/>
      <c r="E126" s="149"/>
      <c r="F126" s="149"/>
      <c r="G126" s="149"/>
      <c r="H126" s="149" t="s">
        <v>126</v>
      </c>
      <c r="I126" s="261" t="s">
        <v>374</v>
      </c>
    </row>
    <row r="127" spans="2:9" x14ac:dyDescent="0.2">
      <c r="B127" s="149"/>
      <c r="C127" s="149"/>
      <c r="D127" s="149"/>
      <c r="E127" s="149"/>
      <c r="F127" s="149"/>
      <c r="G127" s="149"/>
      <c r="H127" s="149" t="s">
        <v>127</v>
      </c>
      <c r="I127" s="261" t="s">
        <v>375</v>
      </c>
    </row>
    <row r="128" spans="2:9" x14ac:dyDescent="0.2">
      <c r="B128" s="149"/>
      <c r="C128" s="149"/>
      <c r="D128" s="149"/>
      <c r="E128" s="149"/>
      <c r="F128" s="149"/>
      <c r="G128" s="149"/>
      <c r="H128" s="149" t="s">
        <v>128</v>
      </c>
      <c r="I128" s="261" t="s">
        <v>376</v>
      </c>
    </row>
    <row r="129" spans="2:9" x14ac:dyDescent="0.2">
      <c r="B129" s="149"/>
      <c r="C129" s="149"/>
      <c r="D129" s="149"/>
      <c r="E129" s="149"/>
      <c r="F129" s="149"/>
      <c r="G129" s="149"/>
      <c r="H129" s="149" t="s">
        <v>129</v>
      </c>
      <c r="I129" s="261" t="s">
        <v>377</v>
      </c>
    </row>
    <row r="130" spans="2:9" x14ac:dyDescent="0.2">
      <c r="B130" s="149"/>
      <c r="C130" s="149"/>
      <c r="D130" s="149"/>
      <c r="E130" s="149"/>
      <c r="F130" s="149"/>
      <c r="G130" s="149"/>
      <c r="H130" s="149" t="s">
        <v>130</v>
      </c>
      <c r="I130" s="261" t="s">
        <v>378</v>
      </c>
    </row>
    <row r="131" spans="2:9" x14ac:dyDescent="0.2">
      <c r="B131" s="149"/>
      <c r="C131" s="149"/>
      <c r="D131" s="149"/>
      <c r="E131" s="149"/>
      <c r="F131" s="149"/>
      <c r="G131" s="149"/>
      <c r="H131" s="149" t="s">
        <v>156</v>
      </c>
      <c r="I131" s="261" t="s">
        <v>379</v>
      </c>
    </row>
    <row r="132" spans="2:9" x14ac:dyDescent="0.2">
      <c r="B132" s="149"/>
      <c r="C132" s="149"/>
      <c r="D132" s="149"/>
      <c r="E132" s="149"/>
      <c r="F132" s="149"/>
      <c r="G132" s="149"/>
      <c r="H132" s="149" t="s">
        <v>252</v>
      </c>
      <c r="I132" s="261" t="s">
        <v>428</v>
      </c>
    </row>
    <row r="133" spans="2:9" x14ac:dyDescent="0.2">
      <c r="B133" s="149"/>
      <c r="C133" s="149"/>
      <c r="D133" s="149"/>
      <c r="E133" s="149"/>
      <c r="F133" s="149"/>
      <c r="G133" s="149"/>
      <c r="H133" s="149" t="s">
        <v>30</v>
      </c>
      <c r="I133" s="261" t="s">
        <v>380</v>
      </c>
    </row>
    <row r="134" spans="2:9" x14ac:dyDescent="0.2">
      <c r="B134" s="149"/>
      <c r="C134" s="149"/>
      <c r="D134" s="149"/>
      <c r="E134" s="149"/>
      <c r="F134" s="149"/>
      <c r="G134" s="149"/>
      <c r="H134" s="149" t="s">
        <v>381</v>
      </c>
      <c r="I134" s="261" t="s">
        <v>382</v>
      </c>
    </row>
    <row r="135" spans="2:9" x14ac:dyDescent="0.2">
      <c r="B135" s="149"/>
      <c r="C135" s="149"/>
      <c r="D135" s="149"/>
      <c r="E135" s="149"/>
      <c r="F135" s="149"/>
      <c r="G135" s="149"/>
      <c r="H135" s="149" t="s">
        <v>383</v>
      </c>
      <c r="I135" s="261">
        <v>1001</v>
      </c>
    </row>
    <row r="136" spans="2:9" x14ac:dyDescent="0.2">
      <c r="B136" s="149"/>
      <c r="C136" s="149"/>
      <c r="D136" s="149"/>
      <c r="E136" s="149"/>
      <c r="F136" s="149"/>
      <c r="G136" s="149"/>
      <c r="H136" s="149" t="s">
        <v>384</v>
      </c>
      <c r="I136" s="261">
        <v>1002</v>
      </c>
    </row>
    <row r="137" spans="2:9" x14ac:dyDescent="0.2">
      <c r="B137" s="149"/>
      <c r="C137" s="149"/>
      <c r="D137" s="149"/>
      <c r="E137" s="149"/>
      <c r="F137" s="149"/>
      <c r="G137" s="149"/>
      <c r="H137" s="266" t="s">
        <v>385</v>
      </c>
      <c r="I137" s="261">
        <v>1003</v>
      </c>
    </row>
    <row r="138" spans="2:9" x14ac:dyDescent="0.2">
      <c r="B138" s="149"/>
      <c r="C138" s="149"/>
      <c r="D138" s="149"/>
      <c r="E138" s="149"/>
      <c r="F138" s="149"/>
      <c r="G138" s="149"/>
      <c r="H138" s="266" t="s">
        <v>386</v>
      </c>
      <c r="I138" s="261">
        <v>1004</v>
      </c>
    </row>
    <row r="139" spans="2:9" x14ac:dyDescent="0.2">
      <c r="B139" s="149"/>
      <c r="C139" s="149"/>
      <c r="D139" s="149"/>
      <c r="E139" s="149"/>
      <c r="F139" s="149"/>
      <c r="G139" s="149"/>
      <c r="H139" s="266" t="s">
        <v>387</v>
      </c>
      <c r="I139" s="261">
        <v>1005</v>
      </c>
    </row>
    <row r="140" spans="2:9" x14ac:dyDescent="0.2">
      <c r="B140" s="149"/>
      <c r="C140" s="149"/>
      <c r="D140" s="149"/>
      <c r="E140" s="149"/>
      <c r="F140" s="149"/>
      <c r="G140" s="149"/>
      <c r="H140" s="266" t="s">
        <v>388</v>
      </c>
      <c r="I140" s="261">
        <v>1006</v>
      </c>
    </row>
    <row r="141" spans="2:9" x14ac:dyDescent="0.2">
      <c r="B141" s="149"/>
      <c r="C141" s="149"/>
      <c r="D141" s="149"/>
      <c r="E141" s="149"/>
      <c r="F141" s="149"/>
      <c r="G141" s="149"/>
      <c r="H141" s="266" t="s">
        <v>389</v>
      </c>
      <c r="I141" s="261">
        <v>1007</v>
      </c>
    </row>
    <row r="142" spans="2:9" x14ac:dyDescent="0.2">
      <c r="B142" s="149"/>
      <c r="C142" s="149"/>
      <c r="D142" s="149"/>
      <c r="E142" s="149"/>
      <c r="F142" s="149"/>
      <c r="G142" s="149"/>
      <c r="H142" s="266" t="s">
        <v>390</v>
      </c>
      <c r="I142" s="261">
        <v>1008</v>
      </c>
    </row>
    <row r="143" spans="2:9" x14ac:dyDescent="0.2">
      <c r="B143" s="149"/>
      <c r="C143" s="149"/>
      <c r="D143" s="149"/>
      <c r="E143" s="149"/>
      <c r="F143" s="149"/>
      <c r="G143" s="149"/>
      <c r="H143" s="266" t="s">
        <v>391</v>
      </c>
      <c r="I143" s="261">
        <v>1009</v>
      </c>
    </row>
    <row r="144" spans="2:9" x14ac:dyDescent="0.2">
      <c r="B144" s="149"/>
      <c r="C144" s="149"/>
      <c r="D144" s="149"/>
      <c r="E144" s="149"/>
      <c r="F144" s="149"/>
      <c r="G144" s="149"/>
      <c r="H144" s="266" t="s">
        <v>392</v>
      </c>
      <c r="I144" s="261">
        <v>1010</v>
      </c>
    </row>
    <row r="145" spans="2:9" x14ac:dyDescent="0.2">
      <c r="B145" s="149"/>
      <c r="C145" s="149"/>
      <c r="D145" s="149"/>
      <c r="E145" s="149"/>
      <c r="F145" s="149"/>
      <c r="G145" s="149"/>
      <c r="H145" s="266" t="s">
        <v>393</v>
      </c>
      <c r="I145" s="261">
        <v>1011</v>
      </c>
    </row>
    <row r="146" spans="2:9" x14ac:dyDescent="0.2">
      <c r="B146" s="149"/>
      <c r="C146" s="149"/>
      <c r="D146" s="149"/>
      <c r="E146" s="149"/>
      <c r="F146" s="149"/>
      <c r="G146" s="149"/>
      <c r="H146" s="266" t="s">
        <v>394</v>
      </c>
      <c r="I146" s="261">
        <v>1012</v>
      </c>
    </row>
    <row r="147" spans="2:9" x14ac:dyDescent="0.2">
      <c r="B147" s="149"/>
      <c r="C147" s="149"/>
      <c r="D147" s="149"/>
      <c r="E147" s="149"/>
      <c r="F147" s="149"/>
      <c r="G147" s="149"/>
      <c r="H147" s="266" t="s">
        <v>395</v>
      </c>
      <c r="I147" s="261">
        <v>1013</v>
      </c>
    </row>
    <row r="148" spans="2:9" x14ac:dyDescent="0.2">
      <c r="B148" s="149"/>
      <c r="C148" s="149"/>
      <c r="D148" s="149"/>
      <c r="E148" s="149"/>
      <c r="F148" s="149"/>
      <c r="G148" s="149"/>
      <c r="H148" s="266" t="s">
        <v>396</v>
      </c>
      <c r="I148" s="261">
        <v>1014</v>
      </c>
    </row>
    <row r="149" spans="2:9" x14ac:dyDescent="0.2">
      <c r="B149" s="149"/>
      <c r="C149" s="149"/>
      <c r="D149" s="149"/>
      <c r="E149" s="149"/>
      <c r="F149" s="149"/>
      <c r="G149" s="149"/>
      <c r="H149" s="266" t="s">
        <v>397</v>
      </c>
      <c r="I149" s="261">
        <v>1015</v>
      </c>
    </row>
    <row r="150" spans="2:9" x14ac:dyDescent="0.2">
      <c r="B150" s="149"/>
      <c r="C150" s="149"/>
      <c r="D150" s="149"/>
      <c r="E150" s="149"/>
      <c r="F150" s="149"/>
      <c r="G150" s="149"/>
      <c r="H150" s="266" t="s">
        <v>398</v>
      </c>
      <c r="I150" s="261">
        <v>1016</v>
      </c>
    </row>
    <row r="151" spans="2:9" x14ac:dyDescent="0.2">
      <c r="B151" s="149"/>
      <c r="C151" s="149"/>
      <c r="D151" s="149"/>
      <c r="E151" s="149"/>
      <c r="F151" s="149"/>
      <c r="G151" s="149"/>
      <c r="H151" s="266" t="s">
        <v>399</v>
      </c>
      <c r="I151" s="261">
        <v>1017</v>
      </c>
    </row>
    <row r="152" spans="2:9" x14ac:dyDescent="0.2">
      <c r="B152" s="149"/>
      <c r="C152" s="149"/>
      <c r="D152" s="149"/>
      <c r="E152" s="149"/>
      <c r="F152" s="149"/>
      <c r="G152" s="149"/>
      <c r="H152" s="266" t="s">
        <v>400</v>
      </c>
      <c r="I152" s="261">
        <v>1018</v>
      </c>
    </row>
    <row r="153" spans="2:9" x14ac:dyDescent="0.2">
      <c r="B153" s="149"/>
      <c r="C153" s="149"/>
      <c r="D153" s="149"/>
      <c r="E153" s="149"/>
      <c r="F153" s="149"/>
      <c r="G153" s="149"/>
      <c r="H153" s="266" t="s">
        <v>401</v>
      </c>
      <c r="I153" s="261">
        <v>1019</v>
      </c>
    </row>
    <row r="154" spans="2:9" x14ac:dyDescent="0.2">
      <c r="B154" s="149"/>
      <c r="C154" s="149"/>
      <c r="D154" s="149"/>
      <c r="E154" s="149"/>
      <c r="F154" s="149"/>
      <c r="G154" s="149"/>
      <c r="H154" s="266" t="s">
        <v>402</v>
      </c>
      <c r="I154" s="261">
        <v>1020</v>
      </c>
    </row>
    <row r="155" spans="2:9" x14ac:dyDescent="0.2">
      <c r="B155" s="149"/>
      <c r="C155" s="149"/>
      <c r="D155" s="149"/>
      <c r="E155" s="149"/>
      <c r="F155" s="149"/>
      <c r="G155" s="149"/>
      <c r="H155" s="266" t="s">
        <v>403</v>
      </c>
      <c r="I155" s="261">
        <v>1021</v>
      </c>
    </row>
    <row r="156" spans="2:9" x14ac:dyDescent="0.2">
      <c r="B156" s="149"/>
      <c r="C156" s="149"/>
      <c r="D156" s="149"/>
      <c r="E156" s="149"/>
      <c r="F156" s="149"/>
      <c r="G156" s="149"/>
      <c r="H156" s="266" t="s">
        <v>404</v>
      </c>
      <c r="I156" s="261">
        <v>1022</v>
      </c>
    </row>
    <row r="157" spans="2:9" x14ac:dyDescent="0.2">
      <c r="B157" s="149"/>
      <c r="C157" s="149"/>
      <c r="D157" s="149"/>
      <c r="E157" s="149"/>
      <c r="F157" s="149"/>
      <c r="G157" s="149"/>
      <c r="H157" s="266" t="s">
        <v>405</v>
      </c>
      <c r="I157" s="261">
        <v>1023</v>
      </c>
    </row>
    <row r="158" spans="2:9" x14ac:dyDescent="0.2">
      <c r="B158" s="149"/>
      <c r="C158" s="149"/>
      <c r="D158" s="149"/>
      <c r="E158" s="149"/>
      <c r="F158" s="149"/>
      <c r="G158" s="149"/>
      <c r="H158" s="266" t="s">
        <v>406</v>
      </c>
      <c r="I158" s="261">
        <v>1024</v>
      </c>
    </row>
    <row r="159" spans="2:9" x14ac:dyDescent="0.2">
      <c r="B159" s="149"/>
      <c r="C159" s="149"/>
      <c r="D159" s="149"/>
      <c r="E159" s="149"/>
      <c r="F159" s="149"/>
      <c r="G159" s="149"/>
      <c r="H159" s="266" t="s">
        <v>407</v>
      </c>
      <c r="I159" s="261">
        <v>1025</v>
      </c>
    </row>
    <row r="160" spans="2:9" x14ac:dyDescent="0.2">
      <c r="B160" s="149"/>
      <c r="C160" s="149"/>
      <c r="D160" s="149"/>
      <c r="E160" s="149"/>
      <c r="F160" s="149"/>
      <c r="G160" s="149"/>
      <c r="H160" s="266" t="s">
        <v>408</v>
      </c>
      <c r="I160" s="261">
        <v>1026</v>
      </c>
    </row>
    <row r="161" spans="2:9" x14ac:dyDescent="0.2">
      <c r="B161" s="149"/>
      <c r="C161" s="149"/>
      <c r="D161" s="149"/>
      <c r="E161" s="149"/>
      <c r="F161" s="149"/>
      <c r="G161" s="149"/>
      <c r="H161" s="266" t="s">
        <v>409</v>
      </c>
      <c r="I161" s="261">
        <v>1027</v>
      </c>
    </row>
    <row r="162" spans="2:9" x14ac:dyDescent="0.2">
      <c r="B162" s="149"/>
      <c r="C162" s="149"/>
      <c r="D162" s="149"/>
      <c r="E162" s="149"/>
      <c r="F162" s="149"/>
      <c r="G162" s="149"/>
      <c r="H162" s="266" t="s">
        <v>410</v>
      </c>
      <c r="I162" s="261">
        <v>1028</v>
      </c>
    </row>
    <row r="163" spans="2:9" x14ac:dyDescent="0.2">
      <c r="B163" s="149"/>
      <c r="C163" s="149"/>
      <c r="D163" s="149"/>
      <c r="E163" s="149"/>
      <c r="F163" s="149"/>
      <c r="G163" s="149"/>
      <c r="H163" s="266" t="s">
        <v>182</v>
      </c>
      <c r="I163" s="261">
        <v>1029</v>
      </c>
    </row>
    <row r="164" spans="2:9" x14ac:dyDescent="0.2">
      <c r="B164" s="149"/>
      <c r="C164" s="149"/>
      <c r="D164" s="149"/>
      <c r="E164" s="149"/>
      <c r="F164" s="149"/>
      <c r="G164" s="149"/>
      <c r="H164" s="266" t="s">
        <v>411</v>
      </c>
      <c r="I164" s="261">
        <v>1030</v>
      </c>
    </row>
    <row r="165" spans="2:9" x14ac:dyDescent="0.2">
      <c r="B165" s="149"/>
      <c r="C165" s="149"/>
      <c r="D165" s="149"/>
      <c r="E165" s="149"/>
      <c r="F165" s="149"/>
      <c r="G165" s="149"/>
      <c r="H165" s="266" t="s">
        <v>412</v>
      </c>
      <c r="I165" s="261">
        <v>1031</v>
      </c>
    </row>
    <row r="166" spans="2:9" x14ac:dyDescent="0.2">
      <c r="B166" s="149"/>
      <c r="C166" s="149"/>
      <c r="D166" s="149"/>
      <c r="E166" s="149"/>
      <c r="F166" s="149"/>
      <c r="G166" s="149"/>
      <c r="H166" s="266" t="s">
        <v>413</v>
      </c>
      <c r="I166" s="261">
        <v>1032</v>
      </c>
    </row>
    <row r="167" spans="2:9" x14ac:dyDescent="0.2">
      <c r="B167" s="149"/>
      <c r="C167" s="149"/>
      <c r="D167" s="149"/>
      <c r="E167" s="149"/>
      <c r="F167" s="149"/>
      <c r="G167" s="149"/>
      <c r="H167" s="266" t="s">
        <v>414</v>
      </c>
      <c r="I167" s="261">
        <v>1033</v>
      </c>
    </row>
    <row r="168" spans="2:9" x14ac:dyDescent="0.2">
      <c r="B168" s="149"/>
      <c r="C168" s="149"/>
      <c r="D168" s="149"/>
      <c r="E168" s="149"/>
      <c r="F168" s="149"/>
      <c r="G168" s="149"/>
      <c r="H168" s="266" t="s">
        <v>415</v>
      </c>
      <c r="I168" s="261">
        <v>1034</v>
      </c>
    </row>
    <row r="169" spans="2:9" x14ac:dyDescent="0.2">
      <c r="B169" s="149"/>
      <c r="C169" s="149"/>
      <c r="D169" s="149"/>
      <c r="E169" s="149"/>
      <c r="F169" s="149"/>
      <c r="G169" s="149"/>
      <c r="H169" s="266" t="s">
        <v>416</v>
      </c>
      <c r="I169" s="261">
        <v>1035</v>
      </c>
    </row>
    <row r="170" spans="2:9" x14ac:dyDescent="0.2">
      <c r="B170" s="149"/>
      <c r="C170" s="149"/>
      <c r="D170" s="149"/>
      <c r="E170" s="149"/>
      <c r="F170" s="149"/>
      <c r="G170" s="149"/>
      <c r="H170" s="149" t="s">
        <v>417</v>
      </c>
      <c r="I170" s="261">
        <v>1036</v>
      </c>
    </row>
  </sheetData>
  <sheetProtection algorithmName="SHA-512" hashValue="bWXimAdy2TS4URz3XL56nqfSW/CSi+2IAAA1OSfzE20bQk16gyjjqOdv7Kd5ieyeUlP14+EWbtCvyQ13jLf/Vg==" saltValue="ZM98mX/LstxitFD34/F2zg==" spinCount="100000" sheet="1" selectLockedCells="1"/>
  <protectedRanges>
    <protectedRange sqref="H143 H168:H169" name="טווח1_9_1"/>
  </protectedRange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יחידות_מידה_טיסות</vt:lpstr>
      <vt:lpstr>יחידות_מידה_שחקנים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Elena Goldenberg</cp:lastModifiedBy>
  <cp:lastPrinted>2017-03-15T17:08:19Z</cp:lastPrinted>
  <dcterms:created xsi:type="dcterms:W3CDTF">2016-09-20T13:57:54Z</dcterms:created>
  <dcterms:modified xsi:type="dcterms:W3CDTF">2022-01-19T11:02:31Z</dcterms:modified>
</cp:coreProperties>
</file>