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chalwi\Desktop\"/>
    </mc:Choice>
  </mc:AlternateContent>
  <xr:revisionPtr revIDLastSave="0" documentId="8_{EF0C2078-1C9B-4446-9939-B2A487BFBCB2}" xr6:coauthVersionLast="31" xr6:coauthVersionMax="31" xr10:uidLastSave="{00000000-0000-0000-0000-000000000000}"/>
  <workbookProtection workbookAlgorithmName="SHA-512" workbookHashValue="ZDhlC8fCoJY1gblUZnGW8xriSG/HS3/f0iMdsPgI5Nr54Rt31m+Sdqxwly6wJV/ykdF5XCxJa1MRDMPhe9Ig2Q==" workbookSaltValue="VTU1CzHJWZqhCyQUvbLF4w==" workbookSpinCount="100000" lockStructure="1"/>
  <bookViews>
    <workbookView xWindow="-120" yWindow="-120" windowWidth="29040" windowHeight="15840" activeTab="1" xr2:uid="{00000000-000D-0000-FFFF-FFFF00000000}"/>
  </bookViews>
  <sheets>
    <sheet name="מדריך למשתמש" sheetId="5" r:id="rId1"/>
    <sheet name="תקציב" sheetId="1" r:id="rId2"/>
    <sheet name="סיכום" sheetId="6" r:id="rId3"/>
    <sheet name="הגדרות" sheetId="2" state="veryHidden" r:id="rId4"/>
    <sheet name="בקרה" sheetId="3" state="veryHidden" r:id="rId5"/>
    <sheet name="מק&quot;ט" sheetId="4" state="veryHidden" r:id="rId6"/>
  </sheets>
  <definedNames>
    <definedName name="יחידות_מידה_הלבשה">הגדרות!$AG$2:$AG$4</definedName>
    <definedName name="יחידות_מידה_טיסות">הגדרות!$AH$2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94" i="1" l="1"/>
  <c r="L194" i="1" s="1"/>
  <c r="K195" i="1"/>
  <c r="L195" i="1" s="1"/>
  <c r="K196" i="1"/>
  <c r="L196" i="1" s="1"/>
  <c r="Q196" i="1"/>
  <c r="P196" i="1"/>
  <c r="Q195" i="1"/>
  <c r="P195" i="1"/>
  <c r="Q194" i="1"/>
  <c r="P194" i="1"/>
  <c r="D194" i="1"/>
  <c r="D195" i="1"/>
  <c r="D196" i="1"/>
  <c r="O195" i="1" l="1"/>
  <c r="R195" i="1" s="1"/>
  <c r="S195" i="1" s="1"/>
  <c r="O196" i="1"/>
  <c r="R196" i="1" s="1"/>
  <c r="S196" i="1" s="1"/>
  <c r="O194" i="1"/>
  <c r="R194" i="1" s="1"/>
  <c r="S194" i="1" s="1"/>
  <c r="D174" i="1"/>
  <c r="K174" i="1"/>
  <c r="L174" i="1" s="1"/>
  <c r="P174" i="1"/>
  <c r="Q174" i="1"/>
  <c r="O174" i="1" l="1"/>
  <c r="R174" i="1" s="1"/>
  <c r="S174" i="1" s="1"/>
  <c r="C29" i="6"/>
  <c r="D30" i="6"/>
  <c r="C31" i="6"/>
  <c r="C30" i="6"/>
  <c r="C23" i="6"/>
  <c r="Q193" i="1" l="1"/>
  <c r="P193" i="1"/>
  <c r="K193" i="1"/>
  <c r="D193" i="1"/>
  <c r="Q192" i="1"/>
  <c r="P192" i="1"/>
  <c r="K192" i="1"/>
  <c r="L192" i="1" s="1"/>
  <c r="D192" i="1"/>
  <c r="Q191" i="1"/>
  <c r="P191" i="1"/>
  <c r="K191" i="1"/>
  <c r="L191" i="1" s="1"/>
  <c r="D191" i="1"/>
  <c r="Q190" i="1"/>
  <c r="P190" i="1"/>
  <c r="K190" i="1"/>
  <c r="D190" i="1"/>
  <c r="L193" i="1" l="1"/>
  <c r="K197" i="1"/>
  <c r="K199" i="1" s="1"/>
  <c r="L190" i="1"/>
  <c r="O193" i="1"/>
  <c r="R193" i="1" s="1"/>
  <c r="S193" i="1" s="1"/>
  <c r="O192" i="1"/>
  <c r="R192" i="1" s="1"/>
  <c r="S192" i="1" s="1"/>
  <c r="O190" i="1"/>
  <c r="R190" i="1" s="1"/>
  <c r="S190" i="1" s="1"/>
  <c r="O191" i="1"/>
  <c r="R191" i="1" s="1"/>
  <c r="S191" i="1" s="1"/>
  <c r="D160" i="1"/>
  <c r="P141" i="1"/>
  <c r="Q141" i="1"/>
  <c r="P4" i="1"/>
  <c r="D90" i="1"/>
  <c r="K90" i="1"/>
  <c r="L90" i="1" s="1"/>
  <c r="P90" i="1"/>
  <c r="Q90" i="1"/>
  <c r="D170" i="1"/>
  <c r="D171" i="1"/>
  <c r="D172" i="1"/>
  <c r="D173" i="1"/>
  <c r="D169" i="1"/>
  <c r="D167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1" i="1"/>
  <c r="D162" i="1"/>
  <c r="D142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23" i="1"/>
  <c r="D113" i="1"/>
  <c r="D115" i="1"/>
  <c r="D116" i="1"/>
  <c r="D117" i="1"/>
  <c r="D118" i="1"/>
  <c r="D119" i="1"/>
  <c r="D120" i="1"/>
  <c r="D121" i="1"/>
  <c r="D114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95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1" i="1"/>
  <c r="D92" i="1"/>
  <c r="D93" i="1"/>
  <c r="D68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39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21" i="1"/>
  <c r="I12" i="6"/>
  <c r="J12" i="6"/>
  <c r="H12" i="6"/>
  <c r="K97" i="1"/>
  <c r="L97" i="1" s="1"/>
  <c r="P97" i="1"/>
  <c r="Q97" i="1"/>
  <c r="K134" i="1"/>
  <c r="L134" i="1" s="1"/>
  <c r="P134" i="1"/>
  <c r="Q134" i="1"/>
  <c r="K128" i="1"/>
  <c r="L128" i="1" s="1"/>
  <c r="P128" i="1"/>
  <c r="Q128" i="1"/>
  <c r="K129" i="1"/>
  <c r="L129" i="1" s="1"/>
  <c r="P129" i="1"/>
  <c r="Q129" i="1"/>
  <c r="K71" i="1"/>
  <c r="L71" i="1" s="1"/>
  <c r="P71" i="1"/>
  <c r="Q71" i="1"/>
  <c r="K72" i="1"/>
  <c r="L72" i="1" s="1"/>
  <c r="P72" i="1"/>
  <c r="Q72" i="1"/>
  <c r="K70" i="1"/>
  <c r="L70" i="1" s="1"/>
  <c r="P70" i="1"/>
  <c r="Q70" i="1"/>
  <c r="K81" i="1"/>
  <c r="L81" i="1" s="1"/>
  <c r="P81" i="1"/>
  <c r="Q81" i="1"/>
  <c r="K82" i="1"/>
  <c r="L82" i="1" s="1"/>
  <c r="P82" i="1"/>
  <c r="Q82" i="1"/>
  <c r="K83" i="1"/>
  <c r="L83" i="1" s="1"/>
  <c r="P83" i="1"/>
  <c r="Q83" i="1"/>
  <c r="K84" i="1"/>
  <c r="L84" i="1" s="1"/>
  <c r="P84" i="1"/>
  <c r="Q84" i="1"/>
  <c r="K31" i="1"/>
  <c r="L31" i="1" s="1"/>
  <c r="P31" i="1"/>
  <c r="Q31" i="1"/>
  <c r="K32" i="1"/>
  <c r="L32" i="1" s="1"/>
  <c r="P32" i="1"/>
  <c r="Q32" i="1"/>
  <c r="Q21" i="1"/>
  <c r="P21" i="1"/>
  <c r="K21" i="1"/>
  <c r="L21" i="1" s="1"/>
  <c r="K60" i="1"/>
  <c r="L60" i="1" s="1"/>
  <c r="P60" i="1"/>
  <c r="Q60" i="1"/>
  <c r="K61" i="1"/>
  <c r="L61" i="1" s="1"/>
  <c r="P61" i="1"/>
  <c r="Q61" i="1"/>
  <c r="K62" i="1"/>
  <c r="L62" i="1" s="1"/>
  <c r="P62" i="1"/>
  <c r="Q62" i="1"/>
  <c r="K58" i="1"/>
  <c r="L58" i="1" s="1"/>
  <c r="P58" i="1"/>
  <c r="Q58" i="1"/>
  <c r="Q57" i="1"/>
  <c r="P57" i="1"/>
  <c r="K57" i="1"/>
  <c r="K59" i="1"/>
  <c r="L59" i="1" s="1"/>
  <c r="P59" i="1"/>
  <c r="Q59" i="1"/>
  <c r="P113" i="1"/>
  <c r="Q113" i="1"/>
  <c r="Q56" i="1"/>
  <c r="P56" i="1"/>
  <c r="L2" i="3"/>
  <c r="L3" i="3" s="1"/>
  <c r="L4" i="3" s="1"/>
  <c r="L5" i="3" s="1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L151" i="3" s="1"/>
  <c r="L152" i="3" s="1"/>
  <c r="L153" i="3" s="1"/>
  <c r="L154" i="3" s="1"/>
  <c r="L155" i="3" s="1"/>
  <c r="L156" i="3" s="1"/>
  <c r="L157" i="3" s="1"/>
  <c r="L158" i="3" s="1"/>
  <c r="L159" i="3" s="1"/>
  <c r="L160" i="3" s="1"/>
  <c r="L161" i="3" s="1"/>
  <c r="L162" i="3" s="1"/>
  <c r="L163" i="3" s="1"/>
  <c r="L164" i="3" s="1"/>
  <c r="L165" i="3" s="1"/>
  <c r="L166" i="3" s="1"/>
  <c r="L167" i="3" s="1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90" i="3" s="1"/>
  <c r="L191" i="3" s="1"/>
  <c r="L192" i="3" s="1"/>
  <c r="L193" i="3" s="1"/>
  <c r="L194" i="3" s="1"/>
  <c r="L195" i="3" s="1"/>
  <c r="L196" i="3" s="1"/>
  <c r="L197" i="3" s="1"/>
  <c r="L198" i="3" s="1"/>
  <c r="L199" i="3" s="1"/>
  <c r="L200" i="3" s="1"/>
  <c r="L201" i="3" s="1"/>
  <c r="L202" i="3" s="1"/>
  <c r="L203" i="3" s="1"/>
  <c r="L204" i="3" s="1"/>
  <c r="L205" i="3" s="1"/>
  <c r="L206" i="3" s="1"/>
  <c r="L207" i="3" s="1"/>
  <c r="L208" i="3" s="1"/>
  <c r="L209" i="3" s="1"/>
  <c r="L210" i="3" s="1"/>
  <c r="L211" i="3" s="1"/>
  <c r="L212" i="3" s="1"/>
  <c r="L213" i="3" s="1"/>
  <c r="L214" i="3" s="1"/>
  <c r="L215" i="3" s="1"/>
  <c r="L216" i="3" s="1"/>
  <c r="L217" i="3" s="1"/>
  <c r="L218" i="3" s="1"/>
  <c r="L219" i="3" s="1"/>
  <c r="L220" i="3" s="1"/>
  <c r="L221" i="3" s="1"/>
  <c r="L222" i="3" s="1"/>
  <c r="L223" i="3" s="1"/>
  <c r="L224" i="3" s="1"/>
  <c r="L225" i="3" s="1"/>
  <c r="L226" i="3" s="1"/>
  <c r="L227" i="3" s="1"/>
  <c r="L228" i="3" s="1"/>
  <c r="L229" i="3" s="1"/>
  <c r="L230" i="3" s="1"/>
  <c r="L231" i="3" s="1"/>
  <c r="L232" i="3" s="1"/>
  <c r="L233" i="3" s="1"/>
  <c r="L234" i="3" s="1"/>
  <c r="L235" i="3" s="1"/>
  <c r="L236" i="3" s="1"/>
  <c r="L237" i="3" s="1"/>
  <c r="L238" i="3" s="1"/>
  <c r="L239" i="3" s="1"/>
  <c r="L240" i="3" s="1"/>
  <c r="L241" i="3" s="1"/>
  <c r="L242" i="3" s="1"/>
  <c r="L243" i="3" s="1"/>
  <c r="L244" i="3" s="1"/>
  <c r="L245" i="3" s="1"/>
  <c r="L246" i="3" s="1"/>
  <c r="L247" i="3" s="1"/>
  <c r="L248" i="3" s="1"/>
  <c r="L249" i="3" s="1"/>
  <c r="L250" i="3" s="1"/>
  <c r="L251" i="3" s="1"/>
  <c r="L252" i="3" s="1"/>
  <c r="L253" i="3" s="1"/>
  <c r="L254" i="3" s="1"/>
  <c r="L255" i="3" s="1"/>
  <c r="L256" i="3" s="1"/>
  <c r="L257" i="3" s="1"/>
  <c r="L258" i="3" s="1"/>
  <c r="L259" i="3" s="1"/>
  <c r="L260" i="3" s="1"/>
  <c r="L261" i="3" s="1"/>
  <c r="L262" i="3" s="1"/>
  <c r="L263" i="3" s="1"/>
  <c r="L264" i="3" s="1"/>
  <c r="L265" i="3" s="1"/>
  <c r="L266" i="3" s="1"/>
  <c r="L267" i="3" s="1"/>
  <c r="L268" i="3" s="1"/>
  <c r="L269" i="3" s="1"/>
  <c r="L270" i="3" s="1"/>
  <c r="L271" i="3" s="1"/>
  <c r="L272" i="3" s="1"/>
  <c r="L273" i="3" s="1"/>
  <c r="L274" i="3" s="1"/>
  <c r="L275" i="3" s="1"/>
  <c r="L276" i="3" s="1"/>
  <c r="L277" i="3" s="1"/>
  <c r="L278" i="3" s="1"/>
  <c r="L279" i="3" s="1"/>
  <c r="L280" i="3" s="1"/>
  <c r="L281" i="3" s="1"/>
  <c r="L282" i="3" s="1"/>
  <c r="L283" i="3" s="1"/>
  <c r="L284" i="3" s="1"/>
  <c r="L285" i="3" s="1"/>
  <c r="L286" i="3" s="1"/>
  <c r="L287" i="3" s="1"/>
  <c r="L288" i="3" s="1"/>
  <c r="L289" i="3" s="1"/>
  <c r="L290" i="3" s="1"/>
  <c r="L291" i="3" s="1"/>
  <c r="L292" i="3" s="1"/>
  <c r="L293" i="3" s="1"/>
  <c r="L294" i="3" s="1"/>
  <c r="L295" i="3" s="1"/>
  <c r="L296" i="3" s="1"/>
  <c r="L297" i="3" s="1"/>
  <c r="L298" i="3" s="1"/>
  <c r="L299" i="3" s="1"/>
  <c r="L300" i="3" s="1"/>
  <c r="L301" i="3" s="1"/>
  <c r="L302" i="3" s="1"/>
  <c r="L303" i="3" s="1"/>
  <c r="L304" i="3" s="1"/>
  <c r="L305" i="3" s="1"/>
  <c r="L306" i="3" s="1"/>
  <c r="L307" i="3" s="1"/>
  <c r="L308" i="3" s="1"/>
  <c r="L309" i="3" s="1"/>
  <c r="L310" i="3" s="1"/>
  <c r="L311" i="3" s="1"/>
  <c r="L312" i="3" s="1"/>
  <c r="L313" i="3" s="1"/>
  <c r="L314" i="3" s="1"/>
  <c r="L315" i="3" s="1"/>
  <c r="L316" i="3" s="1"/>
  <c r="L317" i="3" s="1"/>
  <c r="L318" i="3" s="1"/>
  <c r="L319" i="3" s="1"/>
  <c r="L320" i="3" s="1"/>
  <c r="L321" i="3" s="1"/>
  <c r="L322" i="3" s="1"/>
  <c r="L323" i="3" s="1"/>
  <c r="L324" i="3" s="1"/>
  <c r="L325" i="3" s="1"/>
  <c r="L326" i="3" s="1"/>
  <c r="L327" i="3" s="1"/>
  <c r="L328" i="3" s="1"/>
  <c r="L329" i="3" s="1"/>
  <c r="L330" i="3" s="1"/>
  <c r="L331" i="3" s="1"/>
  <c r="L332" i="3" s="1"/>
  <c r="L333" i="3" s="1"/>
  <c r="L334" i="3" s="1"/>
  <c r="L335" i="3" s="1"/>
  <c r="L336" i="3" s="1"/>
  <c r="L337" i="3" s="1"/>
  <c r="L338" i="3" s="1"/>
  <c r="L339" i="3" s="1"/>
  <c r="L340" i="3" s="1"/>
  <c r="L341" i="3" s="1"/>
  <c r="L342" i="3" s="1"/>
  <c r="L343" i="3" s="1"/>
  <c r="L344" i="3" s="1"/>
  <c r="L345" i="3" s="1"/>
  <c r="L346" i="3" s="1"/>
  <c r="L347" i="3" s="1"/>
  <c r="L348" i="3" s="1"/>
  <c r="L349" i="3" s="1"/>
  <c r="L350" i="3" s="1"/>
  <c r="L351" i="3" s="1"/>
  <c r="L352" i="3" s="1"/>
  <c r="L353" i="3" s="1"/>
  <c r="L354" i="3" s="1"/>
  <c r="L355" i="3" s="1"/>
  <c r="L356" i="3" s="1"/>
  <c r="L357" i="3" s="1"/>
  <c r="L358" i="3" s="1"/>
  <c r="L359" i="3" s="1"/>
  <c r="L360" i="3" s="1"/>
  <c r="L361" i="3" s="1"/>
  <c r="L362" i="3" s="1"/>
  <c r="L363" i="3" s="1"/>
  <c r="L364" i="3" s="1"/>
  <c r="L365" i="3" s="1"/>
  <c r="L366" i="3" s="1"/>
  <c r="L367" i="3" s="1"/>
  <c r="L368" i="3" s="1"/>
  <c r="L369" i="3" s="1"/>
  <c r="L370" i="3" s="1"/>
  <c r="L371" i="3" s="1"/>
  <c r="L372" i="3" s="1"/>
  <c r="L373" i="3" s="1"/>
  <c r="L374" i="3" s="1"/>
  <c r="L375" i="3" s="1"/>
  <c r="L376" i="3" s="1"/>
  <c r="L377" i="3" s="1"/>
  <c r="L378" i="3" s="1"/>
  <c r="L379" i="3" s="1"/>
  <c r="L380" i="3" s="1"/>
  <c r="L381" i="3" s="1"/>
  <c r="L382" i="3" s="1"/>
  <c r="L383" i="3" s="1"/>
  <c r="L384" i="3" s="1"/>
  <c r="L385" i="3" s="1"/>
  <c r="L386" i="3" s="1"/>
  <c r="L387" i="3" s="1"/>
  <c r="L388" i="3" s="1"/>
  <c r="L389" i="3" s="1"/>
  <c r="L390" i="3" s="1"/>
  <c r="L391" i="3" s="1"/>
  <c r="L392" i="3" s="1"/>
  <c r="L393" i="3" s="1"/>
  <c r="L394" i="3" s="1"/>
  <c r="L395" i="3" s="1"/>
  <c r="L396" i="3" s="1"/>
  <c r="L397" i="3" s="1"/>
  <c r="L398" i="3" s="1"/>
  <c r="L399" i="3" s="1"/>
  <c r="L400" i="3" s="1"/>
  <c r="L401" i="3" s="1"/>
  <c r="L402" i="3" s="1"/>
  <c r="L403" i="3" s="1"/>
  <c r="L404" i="3" s="1"/>
  <c r="L405" i="3" s="1"/>
  <c r="L406" i="3" s="1"/>
  <c r="L407" i="3" s="1"/>
  <c r="L408" i="3" s="1"/>
  <c r="L409" i="3" s="1"/>
  <c r="L410" i="3" s="1"/>
  <c r="L411" i="3" s="1"/>
  <c r="L412" i="3" s="1"/>
  <c r="L413" i="3" s="1"/>
  <c r="L414" i="3" s="1"/>
  <c r="L415" i="3" s="1"/>
  <c r="L416" i="3" s="1"/>
  <c r="L417" i="3" s="1"/>
  <c r="L418" i="3" s="1"/>
  <c r="L419" i="3" s="1"/>
  <c r="L420" i="3" s="1"/>
  <c r="L421" i="3" s="1"/>
  <c r="L422" i="3" s="1"/>
  <c r="L423" i="3" s="1"/>
  <c r="L424" i="3" s="1"/>
  <c r="L425" i="3" s="1"/>
  <c r="L426" i="3" s="1"/>
  <c r="L427" i="3" s="1"/>
  <c r="L428" i="3" s="1"/>
  <c r="L429" i="3" s="1"/>
  <c r="L430" i="3" s="1"/>
  <c r="L431" i="3" s="1"/>
  <c r="L432" i="3" s="1"/>
  <c r="L433" i="3" s="1"/>
  <c r="L434" i="3" s="1"/>
  <c r="L435" i="3" s="1"/>
  <c r="L436" i="3" s="1"/>
  <c r="L437" i="3" s="1"/>
  <c r="L438" i="3" s="1"/>
  <c r="L439" i="3" s="1"/>
  <c r="L440" i="3" s="1"/>
  <c r="L441" i="3" s="1"/>
  <c r="L442" i="3" s="1"/>
  <c r="L443" i="3" s="1"/>
  <c r="L444" i="3" s="1"/>
  <c r="L445" i="3" s="1"/>
  <c r="L446" i="3" s="1"/>
  <c r="L447" i="3" s="1"/>
  <c r="L448" i="3" s="1"/>
  <c r="L449" i="3" s="1"/>
  <c r="L450" i="3" s="1"/>
  <c r="L451" i="3" s="1"/>
  <c r="L452" i="3" s="1"/>
  <c r="L453" i="3" s="1"/>
  <c r="L454" i="3" s="1"/>
  <c r="L455" i="3" s="1"/>
  <c r="L456" i="3" s="1"/>
  <c r="L457" i="3" s="1"/>
  <c r="L458" i="3" s="1"/>
  <c r="L459" i="3" s="1"/>
  <c r="L460" i="3" s="1"/>
  <c r="L461" i="3" s="1"/>
  <c r="L462" i="3" s="1"/>
  <c r="L463" i="3" s="1"/>
  <c r="L464" i="3" s="1"/>
  <c r="L465" i="3" s="1"/>
  <c r="L466" i="3" s="1"/>
  <c r="L467" i="3" s="1"/>
  <c r="L468" i="3" s="1"/>
  <c r="L469" i="3" s="1"/>
  <c r="L470" i="3" s="1"/>
  <c r="L471" i="3" s="1"/>
  <c r="L472" i="3" s="1"/>
  <c r="L473" i="3" s="1"/>
  <c r="L474" i="3" s="1"/>
  <c r="L475" i="3" s="1"/>
  <c r="L476" i="3" s="1"/>
  <c r="L477" i="3" s="1"/>
  <c r="L478" i="3" s="1"/>
  <c r="L479" i="3" s="1"/>
  <c r="L480" i="3" s="1"/>
  <c r="L481" i="3" s="1"/>
  <c r="L482" i="3" s="1"/>
  <c r="L483" i="3" s="1"/>
  <c r="L484" i="3" s="1"/>
  <c r="L485" i="3" s="1"/>
  <c r="L486" i="3" s="1"/>
  <c r="L487" i="3" s="1"/>
  <c r="L488" i="3" s="1"/>
  <c r="L489" i="3" s="1"/>
  <c r="L490" i="3" s="1"/>
  <c r="L491" i="3" s="1"/>
  <c r="L492" i="3" s="1"/>
  <c r="L493" i="3" s="1"/>
  <c r="L494" i="3" s="1"/>
  <c r="L495" i="3" s="1"/>
  <c r="L496" i="3" s="1"/>
  <c r="L497" i="3" s="1"/>
  <c r="L498" i="3" s="1"/>
  <c r="L499" i="3" s="1"/>
  <c r="L500" i="3" s="1"/>
  <c r="L501" i="3" s="1"/>
  <c r="L502" i="3" s="1"/>
  <c r="L503" i="3" s="1"/>
  <c r="L504" i="3" s="1"/>
  <c r="L505" i="3" s="1"/>
  <c r="L506" i="3" s="1"/>
  <c r="L507" i="3" s="1"/>
  <c r="L508" i="3" s="1"/>
  <c r="L509" i="3" s="1"/>
  <c r="L510" i="3" s="1"/>
  <c r="L511" i="3" s="1"/>
  <c r="L512" i="3" s="1"/>
  <c r="L513" i="3" s="1"/>
  <c r="L514" i="3" s="1"/>
  <c r="L515" i="3" s="1"/>
  <c r="L516" i="3" s="1"/>
  <c r="L517" i="3" s="1"/>
  <c r="L518" i="3" s="1"/>
  <c r="L519" i="3" s="1"/>
  <c r="L520" i="3" s="1"/>
  <c r="L521" i="3" s="1"/>
  <c r="L522" i="3" s="1"/>
  <c r="L523" i="3" s="1"/>
  <c r="L524" i="3" s="1"/>
  <c r="L525" i="3" s="1"/>
  <c r="L526" i="3" s="1"/>
  <c r="L527" i="3" s="1"/>
  <c r="L528" i="3" s="1"/>
  <c r="L529" i="3" s="1"/>
  <c r="L530" i="3" s="1"/>
  <c r="L531" i="3" s="1"/>
  <c r="L532" i="3" s="1"/>
  <c r="L533" i="3" s="1"/>
  <c r="L534" i="3" s="1"/>
  <c r="L535" i="3" s="1"/>
  <c r="B530" i="3"/>
  <c r="B531" i="3"/>
  <c r="B532" i="3"/>
  <c r="B533" i="3"/>
  <c r="B534" i="3"/>
  <c r="B519" i="3"/>
  <c r="B520" i="3"/>
  <c r="B521" i="3"/>
  <c r="B522" i="3"/>
  <c r="B514" i="3"/>
  <c r="B515" i="3"/>
  <c r="B516" i="3"/>
  <c r="B517" i="3"/>
  <c r="B510" i="3"/>
  <c r="B511" i="3"/>
  <c r="B512" i="3"/>
  <c r="B503" i="3"/>
  <c r="B504" i="3"/>
  <c r="B505" i="3"/>
  <c r="B506" i="3"/>
  <c r="B507" i="3"/>
  <c r="B499" i="3"/>
  <c r="B500" i="3"/>
  <c r="B501" i="3"/>
  <c r="B502" i="3"/>
  <c r="B493" i="3"/>
  <c r="B494" i="3"/>
  <c r="B495" i="3"/>
  <c r="B496" i="3"/>
  <c r="B497" i="3"/>
  <c r="B489" i="3"/>
  <c r="B490" i="3"/>
  <c r="B491" i="3"/>
  <c r="B492" i="3"/>
  <c r="B484" i="3"/>
  <c r="B485" i="3"/>
  <c r="B486" i="3"/>
  <c r="B487" i="3"/>
  <c r="B480" i="3"/>
  <c r="B481" i="3"/>
  <c r="B482" i="3"/>
  <c r="B479" i="3"/>
  <c r="B475" i="3"/>
  <c r="B476" i="3"/>
  <c r="B477" i="3"/>
  <c r="B474" i="3"/>
  <c r="B470" i="3"/>
  <c r="B471" i="3"/>
  <c r="B472" i="3"/>
  <c r="B465" i="3"/>
  <c r="B466" i="3"/>
  <c r="B467" i="3"/>
  <c r="B464" i="3"/>
  <c r="B460" i="3"/>
  <c r="B461" i="3"/>
  <c r="B462" i="3"/>
  <c r="B459" i="3"/>
  <c r="B455" i="3"/>
  <c r="B456" i="3"/>
  <c r="B457" i="3"/>
  <c r="B450" i="3"/>
  <c r="B451" i="3"/>
  <c r="B452" i="3"/>
  <c r="B449" i="3"/>
  <c r="B445" i="3"/>
  <c r="B446" i="3"/>
  <c r="B447" i="3"/>
  <c r="B444" i="3"/>
  <c r="B440" i="3"/>
  <c r="B441" i="3"/>
  <c r="B442" i="3"/>
  <c r="B435" i="3"/>
  <c r="B436" i="3"/>
  <c r="B437" i="3"/>
  <c r="B431" i="3"/>
  <c r="B432" i="3"/>
  <c r="B425" i="3"/>
  <c r="B426" i="3"/>
  <c r="B427" i="3"/>
  <c r="B420" i="3"/>
  <c r="B421" i="3"/>
  <c r="B422" i="3"/>
  <c r="B415" i="3"/>
  <c r="B416" i="3"/>
  <c r="B417" i="3"/>
  <c r="B409" i="3"/>
  <c r="B410" i="3"/>
  <c r="B411" i="3"/>
  <c r="B412" i="3"/>
  <c r="B405" i="3"/>
  <c r="B406" i="3"/>
  <c r="B407" i="3"/>
  <c r="B400" i="3"/>
  <c r="B401" i="3"/>
  <c r="B402" i="3"/>
  <c r="B395" i="3"/>
  <c r="B396" i="3"/>
  <c r="B397" i="3"/>
  <c r="B390" i="3"/>
  <c r="B391" i="3"/>
  <c r="B392" i="3"/>
  <c r="B385" i="3"/>
  <c r="B386" i="3"/>
  <c r="B387" i="3"/>
  <c r="B380" i="3"/>
  <c r="B381" i="3"/>
  <c r="B382" i="3"/>
  <c r="B375" i="3"/>
  <c r="B376" i="3"/>
  <c r="B377" i="3"/>
  <c r="B370" i="3"/>
  <c r="B371" i="3"/>
  <c r="B372" i="3"/>
  <c r="B365" i="3"/>
  <c r="B366" i="3"/>
  <c r="B367" i="3"/>
  <c r="B360" i="3"/>
  <c r="B361" i="3"/>
  <c r="B362" i="3"/>
  <c r="B355" i="3"/>
  <c r="B356" i="3"/>
  <c r="B357" i="3"/>
  <c r="B354" i="3"/>
  <c r="B351" i="3"/>
  <c r="B352" i="3"/>
  <c r="B345" i="3"/>
  <c r="B346" i="3"/>
  <c r="B347" i="3"/>
  <c r="B340" i="3"/>
  <c r="B341" i="3"/>
  <c r="B342" i="3"/>
  <c r="B335" i="3"/>
  <c r="B336" i="3"/>
  <c r="B337" i="3"/>
  <c r="B330" i="3"/>
  <c r="B331" i="3"/>
  <c r="B332" i="3"/>
  <c r="B329" i="3"/>
  <c r="B325" i="3"/>
  <c r="B326" i="3"/>
  <c r="B327" i="3"/>
  <c r="B324" i="3"/>
  <c r="B318" i="3"/>
  <c r="B314" i="3"/>
  <c r="B315" i="3"/>
  <c r="B316" i="3"/>
  <c r="B309" i="3"/>
  <c r="B310" i="3"/>
  <c r="B311" i="3"/>
  <c r="B305" i="3"/>
  <c r="B306" i="3"/>
  <c r="B300" i="3"/>
  <c r="B301" i="3"/>
  <c r="B295" i="3"/>
  <c r="B296" i="3"/>
  <c r="B290" i="3"/>
  <c r="B291" i="3"/>
  <c r="B282" i="3"/>
  <c r="B283" i="3"/>
  <c r="B284" i="3"/>
  <c r="B285" i="3"/>
  <c r="B286" i="3"/>
  <c r="B277" i="3"/>
  <c r="B278" i="3"/>
  <c r="B279" i="3"/>
  <c r="B280" i="3"/>
  <c r="B281" i="3"/>
  <c r="B272" i="3"/>
  <c r="B273" i="3"/>
  <c r="B274" i="3"/>
  <c r="B275" i="3"/>
  <c r="B276" i="3"/>
  <c r="B267" i="3"/>
  <c r="B268" i="3"/>
  <c r="B269" i="3"/>
  <c r="B270" i="3"/>
  <c r="B271" i="3"/>
  <c r="B264" i="3"/>
  <c r="G3" i="4"/>
  <c r="C231" i="3" s="1"/>
  <c r="B265" i="3"/>
  <c r="B266" i="3"/>
  <c r="B258" i="3"/>
  <c r="B259" i="3"/>
  <c r="B260" i="3"/>
  <c r="B261" i="3"/>
  <c r="B253" i="3"/>
  <c r="B254" i="3"/>
  <c r="B255" i="3"/>
  <c r="B256" i="3"/>
  <c r="B248" i="3"/>
  <c r="B249" i="3"/>
  <c r="B250" i="3"/>
  <c r="B25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08" i="3"/>
  <c r="B209" i="3"/>
  <c r="B210" i="3"/>
  <c r="B211" i="3"/>
  <c r="B202" i="3"/>
  <c r="B203" i="3"/>
  <c r="B204" i="3"/>
  <c r="B205" i="3"/>
  <c r="B206" i="3"/>
  <c r="B197" i="3"/>
  <c r="B198" i="3"/>
  <c r="B199" i="3"/>
  <c r="B200" i="3"/>
  <c r="B201" i="3"/>
  <c r="B192" i="3"/>
  <c r="B193" i="3"/>
  <c r="B194" i="3"/>
  <c r="B195" i="3"/>
  <c r="B196" i="3"/>
  <c r="B187" i="3"/>
  <c r="B188" i="3"/>
  <c r="B189" i="3"/>
  <c r="B190" i="3"/>
  <c r="B191" i="3"/>
  <c r="B182" i="3"/>
  <c r="B183" i="3"/>
  <c r="B184" i="3"/>
  <c r="B185" i="3"/>
  <c r="B186" i="3"/>
  <c r="G7" i="4"/>
  <c r="C196" i="3" s="1"/>
  <c r="B177" i="3"/>
  <c r="B178" i="3"/>
  <c r="B179" i="3"/>
  <c r="B180" i="3"/>
  <c r="B181" i="3"/>
  <c r="G5" i="4"/>
  <c r="C141" i="3" s="1"/>
  <c r="B167" i="3"/>
  <c r="B168" i="3"/>
  <c r="B169" i="3"/>
  <c r="B170" i="3"/>
  <c r="B171" i="3"/>
  <c r="B172" i="3"/>
  <c r="B173" i="3"/>
  <c r="B174" i="3"/>
  <c r="B175" i="3"/>
  <c r="B176" i="3"/>
  <c r="B162" i="3"/>
  <c r="B163" i="3"/>
  <c r="B164" i="3"/>
  <c r="B165" i="3"/>
  <c r="B166" i="3"/>
  <c r="B159" i="3"/>
  <c r="B160" i="3"/>
  <c r="B161" i="3"/>
  <c r="B154" i="3"/>
  <c r="B155" i="3"/>
  <c r="B156" i="3"/>
  <c r="B150" i="3"/>
  <c r="B151" i="3"/>
  <c r="B145" i="3"/>
  <c r="B146" i="3"/>
  <c r="B140" i="3"/>
  <c r="B141" i="3"/>
  <c r="B135" i="3"/>
  <c r="B136" i="3"/>
  <c r="B130" i="3"/>
  <c r="B131" i="3"/>
  <c r="B124" i="3"/>
  <c r="B125" i="3"/>
  <c r="B126" i="3"/>
  <c r="B118" i="3"/>
  <c r="B119" i="3"/>
  <c r="B120" i="3"/>
  <c r="B121" i="3"/>
  <c r="B113" i="3"/>
  <c r="B114" i="3"/>
  <c r="B115" i="3"/>
  <c r="B116" i="3"/>
  <c r="B108" i="3"/>
  <c r="B109" i="3"/>
  <c r="B110" i="3"/>
  <c r="B111" i="3"/>
  <c r="B103" i="3"/>
  <c r="B104" i="3"/>
  <c r="B105" i="3"/>
  <c r="B106" i="3"/>
  <c r="B107" i="3"/>
  <c r="B98" i="3"/>
  <c r="B99" i="3"/>
  <c r="B100" i="3"/>
  <c r="B101" i="3"/>
  <c r="B94" i="3"/>
  <c r="B95" i="3"/>
  <c r="B96" i="3"/>
  <c r="B89" i="3"/>
  <c r="B90" i="3"/>
  <c r="B91" i="3"/>
  <c r="B85" i="3"/>
  <c r="B86" i="3"/>
  <c r="B79" i="3"/>
  <c r="B80" i="3"/>
  <c r="B81" i="3"/>
  <c r="B74" i="3"/>
  <c r="B75" i="3"/>
  <c r="B76" i="3"/>
  <c r="B69" i="3"/>
  <c r="B70" i="3"/>
  <c r="B71" i="3"/>
  <c r="B64" i="3"/>
  <c r="B65" i="3"/>
  <c r="B66" i="3"/>
  <c r="B58" i="3"/>
  <c r="B59" i="3"/>
  <c r="B60" i="3"/>
  <c r="B55" i="3"/>
  <c r="B56" i="3"/>
  <c r="B49" i="3"/>
  <c r="B50" i="3"/>
  <c r="B51" i="3"/>
  <c r="B44" i="3"/>
  <c r="B45" i="3"/>
  <c r="B46" i="3"/>
  <c r="B39" i="3"/>
  <c r="B40" i="3"/>
  <c r="B41" i="3"/>
  <c r="B34" i="3"/>
  <c r="B35" i="3"/>
  <c r="B36" i="3"/>
  <c r="B37" i="3"/>
  <c r="B29" i="3"/>
  <c r="B30" i="3"/>
  <c r="B31" i="3"/>
  <c r="B24" i="3"/>
  <c r="B25" i="3"/>
  <c r="B26" i="3"/>
  <c r="B13" i="3"/>
  <c r="B14" i="3"/>
  <c r="B15" i="3"/>
  <c r="B16" i="3"/>
  <c r="B17" i="3"/>
  <c r="B18" i="3"/>
  <c r="B19" i="3"/>
  <c r="B20" i="3"/>
  <c r="B21" i="3"/>
  <c r="B8" i="3"/>
  <c r="B9" i="3"/>
  <c r="B10" i="3"/>
  <c r="B11" i="3"/>
  <c r="B4" i="3"/>
  <c r="B5" i="3"/>
  <c r="B6" i="3"/>
  <c r="G11" i="4"/>
  <c r="G10" i="4"/>
  <c r="C535" i="3" s="1"/>
  <c r="G9" i="4"/>
  <c r="C530" i="3" s="1"/>
  <c r="G8" i="4"/>
  <c r="C514" i="3" s="1"/>
  <c r="G6" i="4"/>
  <c r="C318" i="3" s="1"/>
  <c r="G4" i="4"/>
  <c r="C71" i="3" s="1"/>
  <c r="G2" i="4"/>
  <c r="C16" i="3" s="1"/>
  <c r="C182" i="3"/>
  <c r="C205" i="3"/>
  <c r="C337" i="3"/>
  <c r="C351" i="3"/>
  <c r="C361" i="3"/>
  <c r="C375" i="3"/>
  <c r="C385" i="3"/>
  <c r="C501" i="3"/>
  <c r="C512" i="3"/>
  <c r="C519" i="3"/>
  <c r="C190" i="3"/>
  <c r="C228" i="3"/>
  <c r="C280" i="3"/>
  <c r="C155" i="3"/>
  <c r="C187" i="3"/>
  <c r="C204" i="3"/>
  <c r="C218" i="3"/>
  <c r="C270" i="3"/>
  <c r="C272" i="3"/>
  <c r="C300" i="3"/>
  <c r="C274" i="3"/>
  <c r="C286" i="3"/>
  <c r="C295" i="3"/>
  <c r="C316" i="3"/>
  <c r="C332" i="3"/>
  <c r="C330" i="3"/>
  <c r="C340" i="3"/>
  <c r="C372" i="3"/>
  <c r="C376" i="3"/>
  <c r="C380" i="3"/>
  <c r="C386" i="3"/>
  <c r="C396" i="3"/>
  <c r="C400" i="3"/>
  <c r="C496" i="3"/>
  <c r="C507" i="3"/>
  <c r="C517" i="3"/>
  <c r="C420" i="3"/>
  <c r="C435" i="3"/>
  <c r="C449" i="3"/>
  <c r="C462" i="3"/>
  <c r="C476" i="3"/>
  <c r="C492" i="3"/>
  <c r="C179" i="3"/>
  <c r="C195" i="3"/>
  <c r="C409" i="3"/>
  <c r="C410" i="3"/>
  <c r="C269" i="3"/>
  <c r="C275" i="3"/>
  <c r="C285" i="3"/>
  <c r="C296" i="3"/>
  <c r="C306" i="3"/>
  <c r="C309" i="3"/>
  <c r="C425" i="3"/>
  <c r="C447" i="3"/>
  <c r="C456" i="3"/>
  <c r="C472" i="3"/>
  <c r="C482" i="3"/>
  <c r="C491" i="3"/>
  <c r="C271" i="3"/>
  <c r="C267" i="3"/>
  <c r="C279" i="3"/>
  <c r="C291" i="3"/>
  <c r="C301" i="3"/>
  <c r="C311" i="3"/>
  <c r="C315" i="3"/>
  <c r="C181" i="3"/>
  <c r="C217" i="3"/>
  <c r="C213" i="3"/>
  <c r="C9" i="6"/>
  <c r="K158" i="1"/>
  <c r="L158" i="1" s="1"/>
  <c r="P158" i="1"/>
  <c r="Q158" i="1"/>
  <c r="K159" i="1"/>
  <c r="L159" i="1" s="1"/>
  <c r="P159" i="1"/>
  <c r="Q159" i="1"/>
  <c r="K160" i="1"/>
  <c r="L160" i="1" s="1"/>
  <c r="P160" i="1"/>
  <c r="Q160" i="1"/>
  <c r="K161" i="1"/>
  <c r="L161" i="1" s="1"/>
  <c r="P161" i="1"/>
  <c r="Q161" i="1"/>
  <c r="K137" i="1"/>
  <c r="L137" i="1" s="1"/>
  <c r="P137" i="1"/>
  <c r="Q137" i="1"/>
  <c r="K138" i="1"/>
  <c r="L138" i="1" s="1"/>
  <c r="P138" i="1"/>
  <c r="Q138" i="1"/>
  <c r="K139" i="1"/>
  <c r="L139" i="1" s="1"/>
  <c r="P139" i="1"/>
  <c r="Q139" i="1"/>
  <c r="K140" i="1"/>
  <c r="L140" i="1" s="1"/>
  <c r="P140" i="1"/>
  <c r="Q140" i="1"/>
  <c r="K156" i="1"/>
  <c r="L156" i="1" s="1"/>
  <c r="P156" i="1"/>
  <c r="Q156" i="1"/>
  <c r="K119" i="1"/>
  <c r="L119" i="1" s="1"/>
  <c r="P119" i="1"/>
  <c r="Q119" i="1"/>
  <c r="K120" i="1"/>
  <c r="L120" i="1" s="1"/>
  <c r="P120" i="1"/>
  <c r="Q120" i="1"/>
  <c r="K121" i="1"/>
  <c r="L121" i="1" s="1"/>
  <c r="P121" i="1"/>
  <c r="Q121" i="1"/>
  <c r="K102" i="1"/>
  <c r="L102" i="1" s="1"/>
  <c r="P102" i="1"/>
  <c r="Q102" i="1"/>
  <c r="K108" i="1"/>
  <c r="L108" i="1" s="1"/>
  <c r="P108" i="1"/>
  <c r="Q108" i="1"/>
  <c r="K109" i="1"/>
  <c r="L109" i="1" s="1"/>
  <c r="P109" i="1"/>
  <c r="Q109" i="1"/>
  <c r="K110" i="1"/>
  <c r="L110" i="1" s="1"/>
  <c r="P110" i="1"/>
  <c r="Q110" i="1"/>
  <c r="K111" i="1"/>
  <c r="L111" i="1" s="1"/>
  <c r="P111" i="1"/>
  <c r="Q111" i="1"/>
  <c r="K95" i="1"/>
  <c r="L95" i="1" s="1"/>
  <c r="P95" i="1"/>
  <c r="Q95" i="1"/>
  <c r="K96" i="1"/>
  <c r="L96" i="1" s="1"/>
  <c r="P96" i="1"/>
  <c r="Q96" i="1"/>
  <c r="K98" i="1"/>
  <c r="L98" i="1" s="1"/>
  <c r="P98" i="1"/>
  <c r="Q98" i="1"/>
  <c r="K99" i="1"/>
  <c r="L99" i="1" s="1"/>
  <c r="P99" i="1"/>
  <c r="Q99" i="1"/>
  <c r="K100" i="1"/>
  <c r="L100" i="1" s="1"/>
  <c r="P100" i="1"/>
  <c r="Q100" i="1"/>
  <c r="K101" i="1"/>
  <c r="L101" i="1" s="1"/>
  <c r="P101" i="1"/>
  <c r="Q101" i="1"/>
  <c r="K88" i="1"/>
  <c r="L88" i="1" s="1"/>
  <c r="P88" i="1"/>
  <c r="Q88" i="1"/>
  <c r="K89" i="1"/>
  <c r="L89" i="1" s="1"/>
  <c r="P89" i="1"/>
  <c r="Q89" i="1"/>
  <c r="K91" i="1"/>
  <c r="L91" i="1" s="1"/>
  <c r="P91" i="1"/>
  <c r="Q91" i="1"/>
  <c r="K92" i="1"/>
  <c r="L92" i="1" s="1"/>
  <c r="P92" i="1"/>
  <c r="Q92" i="1"/>
  <c r="P68" i="1"/>
  <c r="Q68" i="1"/>
  <c r="P69" i="1"/>
  <c r="Q69" i="1"/>
  <c r="K68" i="1"/>
  <c r="K69" i="1"/>
  <c r="L69" i="1" s="1"/>
  <c r="P34" i="1"/>
  <c r="Q34" i="1"/>
  <c r="P35" i="1"/>
  <c r="Q35" i="1"/>
  <c r="P36" i="1"/>
  <c r="Q36" i="1"/>
  <c r="P37" i="1"/>
  <c r="Q37" i="1"/>
  <c r="Q63" i="1"/>
  <c r="K56" i="1"/>
  <c r="L56" i="1" s="1"/>
  <c r="K54" i="1"/>
  <c r="L54" i="1" s="1"/>
  <c r="P54" i="1"/>
  <c r="Q54" i="1"/>
  <c r="K55" i="1"/>
  <c r="L55" i="1" s="1"/>
  <c r="P55" i="1"/>
  <c r="Q55" i="1"/>
  <c r="K63" i="1"/>
  <c r="L63" i="1" s="1"/>
  <c r="P63" i="1"/>
  <c r="K64" i="1"/>
  <c r="L64" i="1" s="1"/>
  <c r="P64" i="1"/>
  <c r="Q64" i="1"/>
  <c r="K65" i="1"/>
  <c r="L65" i="1" s="1"/>
  <c r="P65" i="1"/>
  <c r="Q65" i="1"/>
  <c r="K66" i="1"/>
  <c r="L66" i="1" s="1"/>
  <c r="P66" i="1"/>
  <c r="Q66" i="1"/>
  <c r="K51" i="1"/>
  <c r="L51" i="1" s="1"/>
  <c r="P51" i="1"/>
  <c r="Q51" i="1"/>
  <c r="K52" i="1"/>
  <c r="P52" i="1"/>
  <c r="Q52" i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7" i="1"/>
  <c r="L157" i="1" s="1"/>
  <c r="K162" i="1"/>
  <c r="L162" i="1" s="1"/>
  <c r="K142" i="1"/>
  <c r="L142" i="1" s="1"/>
  <c r="K123" i="1"/>
  <c r="L123" i="1" s="1"/>
  <c r="K124" i="1"/>
  <c r="K125" i="1"/>
  <c r="L125" i="1" s="1"/>
  <c r="K126" i="1"/>
  <c r="L126" i="1" s="1"/>
  <c r="K127" i="1"/>
  <c r="L127" i="1" s="1"/>
  <c r="K130" i="1"/>
  <c r="L130" i="1" s="1"/>
  <c r="K131" i="1"/>
  <c r="L131" i="1" s="1"/>
  <c r="K132" i="1"/>
  <c r="L132" i="1" s="1"/>
  <c r="K133" i="1"/>
  <c r="L133" i="1" s="1"/>
  <c r="K135" i="1"/>
  <c r="L135" i="1" s="1"/>
  <c r="K136" i="1"/>
  <c r="L136" i="1" s="1"/>
  <c r="K114" i="1"/>
  <c r="K115" i="1"/>
  <c r="L115" i="1" s="1"/>
  <c r="K116" i="1"/>
  <c r="L116" i="1" s="1"/>
  <c r="K117" i="1"/>
  <c r="L117" i="1" s="1"/>
  <c r="K118" i="1"/>
  <c r="L118" i="1" s="1"/>
  <c r="K113" i="1"/>
  <c r="L113" i="1" s="1"/>
  <c r="K104" i="1"/>
  <c r="L104" i="1" s="1"/>
  <c r="K105" i="1"/>
  <c r="L105" i="1" s="1"/>
  <c r="K106" i="1"/>
  <c r="L106" i="1" s="1"/>
  <c r="K107" i="1"/>
  <c r="L107" i="1" s="1"/>
  <c r="K103" i="1"/>
  <c r="L103" i="1" s="1"/>
  <c r="K93" i="1"/>
  <c r="L93" i="1" s="1"/>
  <c r="K87" i="1"/>
  <c r="L87" i="1" s="1"/>
  <c r="K86" i="1"/>
  <c r="L86" i="1" s="1"/>
  <c r="K85" i="1"/>
  <c r="L85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K40" i="1"/>
  <c r="L40" i="1" s="1"/>
  <c r="K39" i="1"/>
  <c r="L39" i="1" s="1"/>
  <c r="K33" i="1"/>
  <c r="L33" i="1" s="1"/>
  <c r="K37" i="1"/>
  <c r="L37" i="1" s="1"/>
  <c r="K36" i="1"/>
  <c r="L36" i="1" s="1"/>
  <c r="K35" i="1"/>
  <c r="L35" i="1" s="1"/>
  <c r="K34" i="1"/>
  <c r="L34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B353" i="3"/>
  <c r="C353" i="3"/>
  <c r="B38" i="3"/>
  <c r="B32" i="3"/>
  <c r="B33" i="3"/>
  <c r="B12" i="3"/>
  <c r="P123" i="1"/>
  <c r="Q123" i="1"/>
  <c r="P27" i="1"/>
  <c r="Q27" i="1"/>
  <c r="P24" i="1"/>
  <c r="Q24" i="1"/>
  <c r="P22" i="1"/>
  <c r="Q22" i="1"/>
  <c r="P23" i="1"/>
  <c r="Q23" i="1"/>
  <c r="P25" i="1"/>
  <c r="Q25" i="1"/>
  <c r="P26" i="1"/>
  <c r="Q26" i="1"/>
  <c r="P28" i="1"/>
  <c r="Q28" i="1"/>
  <c r="P29" i="1"/>
  <c r="Q29" i="1"/>
  <c r="P30" i="1"/>
  <c r="Q30" i="1"/>
  <c r="P33" i="1"/>
  <c r="Q33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5" i="1"/>
  <c r="Q85" i="1"/>
  <c r="P86" i="1"/>
  <c r="Q86" i="1"/>
  <c r="P87" i="1"/>
  <c r="Q87" i="1"/>
  <c r="P93" i="1"/>
  <c r="Q93" i="1"/>
  <c r="P103" i="1"/>
  <c r="Q103" i="1"/>
  <c r="P104" i="1"/>
  <c r="Q104" i="1"/>
  <c r="P105" i="1"/>
  <c r="Q105" i="1"/>
  <c r="P106" i="1"/>
  <c r="Q106" i="1"/>
  <c r="P107" i="1"/>
  <c r="Q107" i="1"/>
  <c r="P114" i="1"/>
  <c r="Q114" i="1"/>
  <c r="P115" i="1"/>
  <c r="Q115" i="1"/>
  <c r="P116" i="1"/>
  <c r="Q116" i="1"/>
  <c r="P117" i="1"/>
  <c r="Q117" i="1"/>
  <c r="P118" i="1"/>
  <c r="Q118" i="1"/>
  <c r="P124" i="1"/>
  <c r="Q124" i="1"/>
  <c r="P125" i="1"/>
  <c r="Q125" i="1"/>
  <c r="P126" i="1"/>
  <c r="Q126" i="1"/>
  <c r="P127" i="1"/>
  <c r="Q127" i="1"/>
  <c r="P130" i="1"/>
  <c r="Q130" i="1"/>
  <c r="P131" i="1"/>
  <c r="Q131" i="1"/>
  <c r="P132" i="1"/>
  <c r="Q132" i="1"/>
  <c r="P133" i="1"/>
  <c r="Q133" i="1"/>
  <c r="P135" i="1"/>
  <c r="Q135" i="1"/>
  <c r="P136" i="1"/>
  <c r="Q136" i="1"/>
  <c r="P142" i="1"/>
  <c r="Q142" i="1"/>
  <c r="P143" i="1"/>
  <c r="Q143" i="1"/>
  <c r="P144" i="1"/>
  <c r="Q144" i="1"/>
  <c r="P145" i="1"/>
  <c r="Q145" i="1"/>
  <c r="P146" i="1"/>
  <c r="Q146" i="1"/>
  <c r="P147" i="1"/>
  <c r="Q147" i="1"/>
  <c r="P148" i="1"/>
  <c r="Q148" i="1"/>
  <c r="P149" i="1"/>
  <c r="Q149" i="1"/>
  <c r="P150" i="1"/>
  <c r="Q150" i="1"/>
  <c r="P151" i="1"/>
  <c r="Q151" i="1"/>
  <c r="P152" i="1"/>
  <c r="Q152" i="1"/>
  <c r="P153" i="1"/>
  <c r="Q153" i="1"/>
  <c r="P154" i="1"/>
  <c r="Q154" i="1"/>
  <c r="P155" i="1"/>
  <c r="Q155" i="1"/>
  <c r="P157" i="1"/>
  <c r="Q157" i="1"/>
  <c r="P162" i="1"/>
  <c r="Q162" i="1"/>
  <c r="P169" i="1"/>
  <c r="Q169" i="1"/>
  <c r="P170" i="1"/>
  <c r="Q170" i="1"/>
  <c r="P171" i="1"/>
  <c r="Q171" i="1"/>
  <c r="P172" i="1"/>
  <c r="Q172" i="1"/>
  <c r="P173" i="1"/>
  <c r="Q173" i="1"/>
  <c r="Q212" i="3"/>
  <c r="Q217" i="3"/>
  <c r="Q222" i="3"/>
  <c r="Q227" i="3"/>
  <c r="Q232" i="3"/>
  <c r="Q237" i="3"/>
  <c r="Q242" i="3"/>
  <c r="Q207" i="3"/>
  <c r="P212" i="3"/>
  <c r="P217" i="3"/>
  <c r="P222" i="3"/>
  <c r="P227" i="3"/>
  <c r="P232" i="3"/>
  <c r="P237" i="3"/>
  <c r="P242" i="3"/>
  <c r="P207" i="3"/>
  <c r="O212" i="3"/>
  <c r="O217" i="3"/>
  <c r="O222" i="3"/>
  <c r="O227" i="3"/>
  <c r="O232" i="3"/>
  <c r="O237" i="3"/>
  <c r="O242" i="3"/>
  <c r="O207" i="3"/>
  <c r="C117" i="3"/>
  <c r="C207" i="3"/>
  <c r="C247" i="3"/>
  <c r="C252" i="3"/>
  <c r="C287" i="3"/>
  <c r="C288" i="3"/>
  <c r="C289" i="3"/>
  <c r="C292" i="3"/>
  <c r="C293" i="3"/>
  <c r="C294" i="3"/>
  <c r="C297" i="3"/>
  <c r="C299" i="3"/>
  <c r="C303" i="3"/>
  <c r="C304" i="3"/>
  <c r="C307" i="3"/>
  <c r="C308" i="3"/>
  <c r="C313" i="3"/>
  <c r="C317" i="3"/>
  <c r="C319" i="3"/>
  <c r="C328" i="3"/>
  <c r="C333" i="3"/>
  <c r="C334" i="3"/>
  <c r="C338" i="3"/>
  <c r="C339" i="3"/>
  <c r="C344" i="3"/>
  <c r="C350" i="3"/>
  <c r="C358" i="3"/>
  <c r="C359" i="3"/>
  <c r="C364" i="3"/>
  <c r="C368" i="3"/>
  <c r="C369" i="3"/>
  <c r="C383" i="3"/>
  <c r="C384" i="3"/>
  <c r="C388" i="3"/>
  <c r="C389" i="3"/>
  <c r="C393" i="3"/>
  <c r="C398" i="3"/>
  <c r="C404" i="3"/>
  <c r="C408" i="3"/>
  <c r="C413" i="3"/>
  <c r="C419" i="3"/>
  <c r="C430" i="3"/>
  <c r="C439" i="3"/>
  <c r="C454" i="3"/>
  <c r="C469" i="3"/>
  <c r="C488" i="3"/>
  <c r="C518" i="3"/>
  <c r="C525" i="3"/>
  <c r="C526" i="3"/>
  <c r="C28" i="3"/>
  <c r="C12" i="6"/>
  <c r="C10" i="6"/>
  <c r="B348" i="3"/>
  <c r="B349" i="3"/>
  <c r="B350" i="3"/>
  <c r="B97" i="3"/>
  <c r="B102" i="3"/>
  <c r="B207" i="3"/>
  <c r="B247" i="3"/>
  <c r="B252" i="3"/>
  <c r="B257" i="3"/>
  <c r="B262" i="3"/>
  <c r="B263" i="3"/>
  <c r="B344" i="3"/>
  <c r="B343" i="3"/>
  <c r="B339" i="3"/>
  <c r="B338" i="3"/>
  <c r="B334" i="3"/>
  <c r="B333" i="3"/>
  <c r="B328" i="3"/>
  <c r="B323" i="3"/>
  <c r="B322" i="3"/>
  <c r="D22" i="6"/>
  <c r="D20" i="6"/>
  <c r="D16" i="6"/>
  <c r="J10" i="6"/>
  <c r="J11" i="6"/>
  <c r="J13" i="6"/>
  <c r="J14" i="6"/>
  <c r="J9" i="6"/>
  <c r="I10" i="6"/>
  <c r="I11" i="6"/>
  <c r="I13" i="6"/>
  <c r="I14" i="6"/>
  <c r="I9" i="6"/>
  <c r="H10" i="6"/>
  <c r="H11" i="6"/>
  <c r="H13" i="6"/>
  <c r="H14" i="6"/>
  <c r="H9" i="6"/>
  <c r="J8" i="6"/>
  <c r="I8" i="6"/>
  <c r="I7" i="6"/>
  <c r="H7" i="6"/>
  <c r="H6" i="6"/>
  <c r="C22" i="6"/>
  <c r="C21" i="6"/>
  <c r="C19" i="6"/>
  <c r="C17" i="6"/>
  <c r="C16" i="6"/>
  <c r="C15" i="6"/>
  <c r="C14" i="6"/>
  <c r="C13" i="6"/>
  <c r="C11" i="6"/>
  <c r="C8" i="6"/>
  <c r="C7" i="6"/>
  <c r="C3" i="6"/>
  <c r="C2" i="6"/>
  <c r="B535" i="3"/>
  <c r="B529" i="3"/>
  <c r="B528" i="3"/>
  <c r="B527" i="3"/>
  <c r="B526" i="3"/>
  <c r="B525" i="3"/>
  <c r="B524" i="3"/>
  <c r="B523" i="3"/>
  <c r="B518" i="3"/>
  <c r="B513" i="3"/>
  <c r="B509" i="3"/>
  <c r="B508" i="3"/>
  <c r="B498" i="3"/>
  <c r="B488" i="3"/>
  <c r="B483" i="3"/>
  <c r="B478" i="3"/>
  <c r="B473" i="3"/>
  <c r="B469" i="3"/>
  <c r="B468" i="3"/>
  <c r="B463" i="3"/>
  <c r="B458" i="3"/>
  <c r="B454" i="3"/>
  <c r="B453" i="3"/>
  <c r="B448" i="3"/>
  <c r="B443" i="3"/>
  <c r="B439" i="3"/>
  <c r="B438" i="3"/>
  <c r="B434" i="3"/>
  <c r="B433" i="3"/>
  <c r="B430" i="3"/>
  <c r="B429" i="3"/>
  <c r="B428" i="3"/>
  <c r="B424" i="3"/>
  <c r="B423" i="3"/>
  <c r="B419" i="3"/>
  <c r="B418" i="3"/>
  <c r="B414" i="3"/>
  <c r="B413" i="3"/>
  <c r="B408" i="3"/>
  <c r="B404" i="3"/>
  <c r="B403" i="3"/>
  <c r="B399" i="3"/>
  <c r="B398" i="3"/>
  <c r="B394" i="3"/>
  <c r="B393" i="3"/>
  <c r="B389" i="3"/>
  <c r="B388" i="3"/>
  <c r="B384" i="3"/>
  <c r="B383" i="3"/>
  <c r="B379" i="3"/>
  <c r="B378" i="3"/>
  <c r="B374" i="3"/>
  <c r="B373" i="3"/>
  <c r="B369" i="3"/>
  <c r="B368" i="3"/>
  <c r="B364" i="3"/>
  <c r="B363" i="3"/>
  <c r="B359" i="3"/>
  <c r="B358" i="3"/>
  <c r="B321" i="3"/>
  <c r="B320" i="3"/>
  <c r="B319" i="3"/>
  <c r="B317" i="3"/>
  <c r="B313" i="3"/>
  <c r="B312" i="3"/>
  <c r="B308" i="3"/>
  <c r="B307" i="3"/>
  <c r="B304" i="3"/>
  <c r="B303" i="3"/>
  <c r="B302" i="3"/>
  <c r="B299" i="3"/>
  <c r="B298" i="3"/>
  <c r="B297" i="3"/>
  <c r="B294" i="3"/>
  <c r="B293" i="3"/>
  <c r="B292" i="3"/>
  <c r="B289" i="3"/>
  <c r="B288" i="3"/>
  <c r="B287" i="3"/>
  <c r="B158" i="3"/>
  <c r="B157" i="3"/>
  <c r="B153" i="3"/>
  <c r="B152" i="3"/>
  <c r="B149" i="3"/>
  <c r="B148" i="3"/>
  <c r="B147" i="3"/>
  <c r="B144" i="3"/>
  <c r="B143" i="3"/>
  <c r="B142" i="3"/>
  <c r="B139" i="3"/>
  <c r="B138" i="3"/>
  <c r="B137" i="3"/>
  <c r="B134" i="3"/>
  <c r="B133" i="3"/>
  <c r="B132" i="3"/>
  <c r="B129" i="3"/>
  <c r="B128" i="3"/>
  <c r="B127" i="3"/>
  <c r="B123" i="3"/>
  <c r="B122" i="3"/>
  <c r="B117" i="3"/>
  <c r="B112" i="3"/>
  <c r="B93" i="3"/>
  <c r="B92" i="3"/>
  <c r="B88" i="3"/>
  <c r="B87" i="3"/>
  <c r="B84" i="3"/>
  <c r="B83" i="3"/>
  <c r="B82" i="3"/>
  <c r="B78" i="3"/>
  <c r="B77" i="3"/>
  <c r="B73" i="3"/>
  <c r="B72" i="3"/>
  <c r="B68" i="3"/>
  <c r="B67" i="3"/>
  <c r="B63" i="3"/>
  <c r="B62" i="3"/>
  <c r="B61" i="3"/>
  <c r="B57" i="3"/>
  <c r="B54" i="3"/>
  <c r="B53" i="3"/>
  <c r="B52" i="3"/>
  <c r="B48" i="3"/>
  <c r="B47" i="3"/>
  <c r="B43" i="3"/>
  <c r="B42" i="3"/>
  <c r="B28" i="3"/>
  <c r="B27" i="3"/>
  <c r="B23" i="3"/>
  <c r="B22" i="3"/>
  <c r="B7" i="3"/>
  <c r="B3" i="3"/>
  <c r="B2" i="3"/>
  <c r="K170" i="1"/>
  <c r="L170" i="1" s="1"/>
  <c r="K171" i="1"/>
  <c r="L171" i="1" s="1"/>
  <c r="K172" i="1"/>
  <c r="K173" i="1"/>
  <c r="L173" i="1" s="1"/>
  <c r="K169" i="1"/>
  <c r="L169" i="1" s="1"/>
  <c r="C61" i="3" l="1"/>
  <c r="C8" i="3"/>
  <c r="C513" i="3"/>
  <c r="C483" i="3"/>
  <c r="C468" i="3"/>
  <c r="C453" i="3"/>
  <c r="C438" i="3"/>
  <c r="C429" i="3"/>
  <c r="C418" i="3"/>
  <c r="C143" i="3"/>
  <c r="C484" i="3"/>
  <c r="C475" i="3"/>
  <c r="C466" i="3"/>
  <c r="C450" i="3"/>
  <c r="C440" i="3"/>
  <c r="C427" i="3"/>
  <c r="C58" i="3"/>
  <c r="C485" i="3"/>
  <c r="C471" i="3"/>
  <c r="C455" i="3"/>
  <c r="C446" i="3"/>
  <c r="C437" i="3"/>
  <c r="C422" i="3"/>
  <c r="C511" i="3"/>
  <c r="C500" i="3"/>
  <c r="C521" i="3"/>
  <c r="C504" i="3"/>
  <c r="C493" i="3"/>
  <c r="C278" i="3"/>
  <c r="C249" i="3"/>
  <c r="C57" i="3"/>
  <c r="C509" i="3"/>
  <c r="C478" i="3"/>
  <c r="C463" i="3"/>
  <c r="C448" i="3"/>
  <c r="C434" i="3"/>
  <c r="C428" i="3"/>
  <c r="C142" i="3"/>
  <c r="C65" i="3"/>
  <c r="C486" i="3"/>
  <c r="C477" i="3"/>
  <c r="C464" i="3"/>
  <c r="C452" i="3"/>
  <c r="C436" i="3"/>
  <c r="C421" i="3"/>
  <c r="C474" i="3"/>
  <c r="C487" i="3"/>
  <c r="C465" i="3"/>
  <c r="C457" i="3"/>
  <c r="C444" i="3"/>
  <c r="C432" i="3"/>
  <c r="C520" i="3"/>
  <c r="C503" i="3"/>
  <c r="C502" i="3"/>
  <c r="C516" i="3"/>
  <c r="C506" i="3"/>
  <c r="C495" i="3"/>
  <c r="C125" i="3"/>
  <c r="C54" i="3"/>
  <c r="C508" i="3"/>
  <c r="C473" i="3"/>
  <c r="C458" i="3"/>
  <c r="C443" i="3"/>
  <c r="C433" i="3"/>
  <c r="C423" i="3"/>
  <c r="C128" i="3"/>
  <c r="C489" i="3"/>
  <c r="C480" i="3"/>
  <c r="C470" i="3"/>
  <c r="C461" i="3"/>
  <c r="C445" i="3"/>
  <c r="C431" i="3"/>
  <c r="C490" i="3"/>
  <c r="C481" i="3"/>
  <c r="C460" i="3"/>
  <c r="C451" i="3"/>
  <c r="C441" i="3"/>
  <c r="C426" i="3"/>
  <c r="C522" i="3"/>
  <c r="C505" i="3"/>
  <c r="C494" i="3"/>
  <c r="C510" i="3"/>
  <c r="C499" i="3"/>
  <c r="C497" i="3"/>
  <c r="C459" i="3"/>
  <c r="C170" i="3"/>
  <c r="C172" i="3"/>
  <c r="C68" i="3"/>
  <c r="C403" i="3"/>
  <c r="C149" i="3"/>
  <c r="C168" i="3"/>
  <c r="C98" i="3"/>
  <c r="C2" i="3"/>
  <c r="C529" i="3"/>
  <c r="C399" i="3"/>
  <c r="C348" i="3"/>
  <c r="C302" i="3"/>
  <c r="C148" i="3"/>
  <c r="C88" i="3"/>
  <c r="C277" i="3"/>
  <c r="C283" i="3"/>
  <c r="C14" i="3"/>
  <c r="C314" i="3"/>
  <c r="C100" i="3"/>
  <c r="C412" i="3"/>
  <c r="C108" i="3"/>
  <c r="C167" i="3"/>
  <c r="C121" i="3"/>
  <c r="C147" i="3"/>
  <c r="C157" i="3"/>
  <c r="C7" i="3"/>
  <c r="C112" i="3"/>
  <c r="C63" i="3"/>
  <c r="C528" i="3"/>
  <c r="C77" i="3"/>
  <c r="C12" i="3"/>
  <c r="C18" i="3"/>
  <c r="C26" i="3"/>
  <c r="C62" i="3"/>
  <c r="C527" i="3"/>
  <c r="C394" i="3"/>
  <c r="C343" i="3"/>
  <c r="C298" i="3"/>
  <c r="C144" i="3"/>
  <c r="C273" i="3"/>
  <c r="C281" i="3"/>
  <c r="C5" i="3"/>
  <c r="C402" i="3"/>
  <c r="C284" i="3"/>
  <c r="C305" i="3"/>
  <c r="C407" i="3"/>
  <c r="C139" i="3"/>
  <c r="C524" i="3"/>
  <c r="C523" i="3"/>
  <c r="C48" i="3"/>
  <c r="C47" i="3"/>
  <c r="C133" i="3"/>
  <c r="C253" i="3"/>
  <c r="C53" i="3"/>
  <c r="C60" i="3"/>
  <c r="C56" i="3"/>
  <c r="C50" i="3"/>
  <c r="C40" i="3"/>
  <c r="C531" i="3"/>
  <c r="Q531" i="3" s="1"/>
  <c r="C323" i="3"/>
  <c r="P323" i="3" s="1"/>
  <c r="C134" i="3"/>
  <c r="C183" i="3"/>
  <c r="C29" i="3"/>
  <c r="C374" i="3"/>
  <c r="C263" i="3"/>
  <c r="C193" i="3"/>
  <c r="C352" i="3"/>
  <c r="C163" i="3"/>
  <c r="C184" i="3"/>
  <c r="C107" i="3"/>
  <c r="C138" i="3"/>
  <c r="C38" i="3"/>
  <c r="C39" i="3"/>
  <c r="C52" i="3"/>
  <c r="C137" i="3"/>
  <c r="C33" i="3"/>
  <c r="C532" i="3"/>
  <c r="C379" i="3"/>
  <c r="C32" i="3"/>
  <c r="C229" i="3"/>
  <c r="C46" i="3"/>
  <c r="C36" i="3"/>
  <c r="C534" i="3"/>
  <c r="C360" i="3"/>
  <c r="C533" i="3"/>
  <c r="C326" i="3"/>
  <c r="C154" i="3"/>
  <c r="C378" i="3"/>
  <c r="C322" i="3"/>
  <c r="C233" i="3"/>
  <c r="C31" i="3"/>
  <c r="C362" i="3"/>
  <c r="C185" i="3"/>
  <c r="C118" i="3"/>
  <c r="C43" i="3"/>
  <c r="C321" i="3"/>
  <c r="C132" i="3"/>
  <c r="C25" i="3"/>
  <c r="C4" i="3"/>
  <c r="C42" i="3"/>
  <c r="C498" i="3"/>
  <c r="C424" i="3"/>
  <c r="C373" i="3"/>
  <c r="C320" i="3"/>
  <c r="C262" i="3"/>
  <c r="C129" i="3"/>
  <c r="C177" i="3"/>
  <c r="C13" i="3"/>
  <c r="C442" i="3"/>
  <c r="C479" i="3"/>
  <c r="C467" i="3"/>
  <c r="C515" i="3"/>
  <c r="C346" i="3"/>
  <c r="C165" i="3"/>
  <c r="C55" i="3"/>
  <c r="C160" i="3"/>
  <c r="C171" i="3"/>
  <c r="C150" i="3"/>
  <c r="C135" i="3"/>
  <c r="C27" i="3"/>
  <c r="C127" i="3"/>
  <c r="C175" i="3"/>
  <c r="C105" i="3"/>
  <c r="C23" i="3"/>
  <c r="C123" i="3"/>
  <c r="C20" i="3"/>
  <c r="C22" i="3"/>
  <c r="C414" i="3"/>
  <c r="C363" i="3"/>
  <c r="C312" i="3"/>
  <c r="C158" i="3"/>
  <c r="C122" i="3"/>
  <c r="C11" i="3"/>
  <c r="C327" i="3"/>
  <c r="C130" i="3"/>
  <c r="C37" i="3"/>
  <c r="C3" i="3"/>
  <c r="C152" i="3"/>
  <c r="C111" i="3"/>
  <c r="C162" i="3"/>
  <c r="C119" i="3"/>
  <c r="C153" i="3"/>
  <c r="R217" i="3"/>
  <c r="S217" i="3" s="1"/>
  <c r="T217" i="3" s="1"/>
  <c r="C102" i="3"/>
  <c r="C349" i="3"/>
  <c r="C97" i="3"/>
  <c r="C72" i="3"/>
  <c r="C84" i="3"/>
  <c r="C73" i="3"/>
  <c r="C268" i="3"/>
  <c r="C290" i="3"/>
  <c r="C93" i="3"/>
  <c r="C83" i="3"/>
  <c r="C75" i="3"/>
  <c r="C76" i="3"/>
  <c r="C67" i="3"/>
  <c r="C92" i="3"/>
  <c r="C82" i="3"/>
  <c r="O82" i="3" s="1"/>
  <c r="C276" i="3"/>
  <c r="L197" i="1"/>
  <c r="F29" i="6" s="1"/>
  <c r="E29" i="6"/>
  <c r="I13" i="1"/>
  <c r="J13" i="1" s="1"/>
  <c r="R212" i="3"/>
  <c r="S212" i="3" s="1"/>
  <c r="T212" i="3" s="1"/>
  <c r="R222" i="3"/>
  <c r="S222" i="3" s="1"/>
  <c r="T222" i="3" s="1"/>
  <c r="O129" i="1"/>
  <c r="R129" i="1" s="1"/>
  <c r="S129" i="1" s="1"/>
  <c r="O50" i="1"/>
  <c r="R50" i="1" s="1"/>
  <c r="S50" i="1" s="1"/>
  <c r="O39" i="1"/>
  <c r="R39" i="1" s="1"/>
  <c r="S39" i="1" s="1"/>
  <c r="E18" i="6"/>
  <c r="O108" i="1"/>
  <c r="R108" i="1" s="1"/>
  <c r="S108" i="1" s="1"/>
  <c r="O160" i="1"/>
  <c r="R160" i="1" s="1"/>
  <c r="S160" i="1" s="1"/>
  <c r="O126" i="1"/>
  <c r="R126" i="1" s="1"/>
  <c r="S126" i="1" s="1"/>
  <c r="O123" i="1"/>
  <c r="R123" i="1" s="1"/>
  <c r="S123" i="1" s="1"/>
  <c r="O72" i="1"/>
  <c r="R72" i="1" s="1"/>
  <c r="S72" i="1" s="1"/>
  <c r="O134" i="1"/>
  <c r="R134" i="1" s="1"/>
  <c r="S134" i="1" s="1"/>
  <c r="O128" i="1"/>
  <c r="R128" i="1" s="1"/>
  <c r="S128" i="1" s="1"/>
  <c r="L172" i="1"/>
  <c r="L175" i="1" s="1"/>
  <c r="O162" i="1"/>
  <c r="R162" i="1" s="1"/>
  <c r="S162" i="1" s="1"/>
  <c r="O154" i="1"/>
  <c r="R154" i="1" s="1"/>
  <c r="S154" i="1" s="1"/>
  <c r="O151" i="1"/>
  <c r="R151" i="1" s="1"/>
  <c r="S151" i="1" s="1"/>
  <c r="O148" i="1"/>
  <c r="R148" i="1" s="1"/>
  <c r="S148" i="1" s="1"/>
  <c r="O144" i="1"/>
  <c r="R144" i="1" s="1"/>
  <c r="S144" i="1" s="1"/>
  <c r="O135" i="1"/>
  <c r="R135" i="1" s="1"/>
  <c r="S135" i="1" s="1"/>
  <c r="O130" i="1"/>
  <c r="R130" i="1" s="1"/>
  <c r="S130" i="1" s="1"/>
  <c r="O117" i="1"/>
  <c r="R117" i="1" s="1"/>
  <c r="S117" i="1" s="1"/>
  <c r="O107" i="1"/>
  <c r="R107" i="1" s="1"/>
  <c r="S107" i="1" s="1"/>
  <c r="R237" i="3"/>
  <c r="S237" i="3" s="1"/>
  <c r="T237" i="3" s="1"/>
  <c r="O172" i="1"/>
  <c r="R172" i="1" s="1"/>
  <c r="S172" i="1" s="1"/>
  <c r="O157" i="1"/>
  <c r="R157" i="1" s="1"/>
  <c r="S157" i="1" s="1"/>
  <c r="O152" i="1"/>
  <c r="R152" i="1" s="1"/>
  <c r="S152" i="1" s="1"/>
  <c r="O150" i="1"/>
  <c r="R150" i="1" s="1"/>
  <c r="S150" i="1" s="1"/>
  <c r="O146" i="1"/>
  <c r="R146" i="1" s="1"/>
  <c r="S146" i="1" s="1"/>
  <c r="O142" i="1"/>
  <c r="R142" i="1" s="1"/>
  <c r="S142" i="1" s="1"/>
  <c r="O132" i="1"/>
  <c r="R132" i="1" s="1"/>
  <c r="S132" i="1" s="1"/>
  <c r="O127" i="1"/>
  <c r="R127" i="1" s="1"/>
  <c r="S127" i="1" s="1"/>
  <c r="O124" i="1"/>
  <c r="R124" i="1" s="1"/>
  <c r="S124" i="1" s="1"/>
  <c r="O115" i="1"/>
  <c r="R115" i="1" s="1"/>
  <c r="S115" i="1" s="1"/>
  <c r="O105" i="1"/>
  <c r="R105" i="1" s="1"/>
  <c r="S105" i="1" s="1"/>
  <c r="O103" i="1"/>
  <c r="R103" i="1" s="1"/>
  <c r="S103" i="1" s="1"/>
  <c r="O87" i="1"/>
  <c r="R87" i="1" s="1"/>
  <c r="S87" i="1" s="1"/>
  <c r="O85" i="1"/>
  <c r="R85" i="1" s="1"/>
  <c r="S85" i="1" s="1"/>
  <c r="O79" i="1"/>
  <c r="R79" i="1" s="1"/>
  <c r="S79" i="1" s="1"/>
  <c r="O77" i="1"/>
  <c r="R77" i="1" s="1"/>
  <c r="S77" i="1" s="1"/>
  <c r="O75" i="1"/>
  <c r="R75" i="1" s="1"/>
  <c r="S75" i="1" s="1"/>
  <c r="O73" i="1"/>
  <c r="R73" i="1" s="1"/>
  <c r="S73" i="1" s="1"/>
  <c r="O49" i="1"/>
  <c r="R49" i="1" s="1"/>
  <c r="S49" i="1" s="1"/>
  <c r="O47" i="1"/>
  <c r="R47" i="1" s="1"/>
  <c r="S47" i="1" s="1"/>
  <c r="O45" i="1"/>
  <c r="R45" i="1" s="1"/>
  <c r="S45" i="1" s="1"/>
  <c r="O43" i="1"/>
  <c r="R43" i="1" s="1"/>
  <c r="S43" i="1" s="1"/>
  <c r="O111" i="1"/>
  <c r="R111" i="1" s="1"/>
  <c r="S111" i="1" s="1"/>
  <c r="O110" i="1"/>
  <c r="R110" i="1" s="1"/>
  <c r="S110" i="1" s="1"/>
  <c r="O109" i="1"/>
  <c r="R109" i="1" s="1"/>
  <c r="S109" i="1" s="1"/>
  <c r="O102" i="1"/>
  <c r="R102" i="1" s="1"/>
  <c r="S102" i="1" s="1"/>
  <c r="O121" i="1"/>
  <c r="R121" i="1" s="1"/>
  <c r="S121" i="1" s="1"/>
  <c r="O120" i="1"/>
  <c r="R120" i="1" s="1"/>
  <c r="S120" i="1" s="1"/>
  <c r="O119" i="1"/>
  <c r="R119" i="1" s="1"/>
  <c r="S119" i="1" s="1"/>
  <c r="O156" i="1"/>
  <c r="R156" i="1" s="1"/>
  <c r="S156" i="1" s="1"/>
  <c r="O140" i="1"/>
  <c r="R140" i="1" s="1"/>
  <c r="S140" i="1" s="1"/>
  <c r="O139" i="1"/>
  <c r="R139" i="1" s="1"/>
  <c r="S139" i="1" s="1"/>
  <c r="O138" i="1"/>
  <c r="R138" i="1" s="1"/>
  <c r="S138" i="1" s="1"/>
  <c r="O137" i="1"/>
  <c r="R137" i="1" s="1"/>
  <c r="S137" i="1" s="1"/>
  <c r="O161" i="1"/>
  <c r="R161" i="1" s="1"/>
  <c r="S161" i="1" s="1"/>
  <c r="O159" i="1"/>
  <c r="R159" i="1" s="1"/>
  <c r="S159" i="1" s="1"/>
  <c r="O158" i="1"/>
  <c r="R158" i="1" s="1"/>
  <c r="S158" i="1" s="1"/>
  <c r="O71" i="1"/>
  <c r="R71" i="1" s="1"/>
  <c r="S71" i="1" s="1"/>
  <c r="K175" i="1"/>
  <c r="O171" i="1"/>
  <c r="R171" i="1" s="1"/>
  <c r="S171" i="1" s="1"/>
  <c r="O169" i="1"/>
  <c r="R169" i="1" s="1"/>
  <c r="S169" i="1" s="1"/>
  <c r="O155" i="1"/>
  <c r="R155" i="1" s="1"/>
  <c r="S155" i="1" s="1"/>
  <c r="O153" i="1"/>
  <c r="R153" i="1" s="1"/>
  <c r="S153" i="1" s="1"/>
  <c r="O149" i="1"/>
  <c r="R149" i="1" s="1"/>
  <c r="S149" i="1" s="1"/>
  <c r="O145" i="1"/>
  <c r="R145" i="1" s="1"/>
  <c r="S145" i="1" s="1"/>
  <c r="O136" i="1"/>
  <c r="R136" i="1" s="1"/>
  <c r="S136" i="1" s="1"/>
  <c r="O131" i="1"/>
  <c r="R131" i="1" s="1"/>
  <c r="S131" i="1" s="1"/>
  <c r="O116" i="1"/>
  <c r="R116" i="1" s="1"/>
  <c r="S116" i="1" s="1"/>
  <c r="O106" i="1"/>
  <c r="R106" i="1" s="1"/>
  <c r="S106" i="1" s="1"/>
  <c r="O93" i="1"/>
  <c r="R93" i="1" s="1"/>
  <c r="S93" i="1" s="1"/>
  <c r="O86" i="1"/>
  <c r="R86" i="1" s="1"/>
  <c r="S86" i="1" s="1"/>
  <c r="O80" i="1"/>
  <c r="R80" i="1" s="1"/>
  <c r="S80" i="1" s="1"/>
  <c r="O76" i="1"/>
  <c r="R76" i="1" s="1"/>
  <c r="S76" i="1" s="1"/>
  <c r="O46" i="1"/>
  <c r="R46" i="1" s="1"/>
  <c r="S46" i="1" s="1"/>
  <c r="O101" i="1"/>
  <c r="R101" i="1" s="1"/>
  <c r="S101" i="1" s="1"/>
  <c r="O100" i="1"/>
  <c r="R100" i="1" s="1"/>
  <c r="S100" i="1" s="1"/>
  <c r="O99" i="1"/>
  <c r="R99" i="1" s="1"/>
  <c r="S99" i="1" s="1"/>
  <c r="O98" i="1"/>
  <c r="R98" i="1" s="1"/>
  <c r="S98" i="1" s="1"/>
  <c r="O96" i="1"/>
  <c r="R96" i="1" s="1"/>
  <c r="S96" i="1" s="1"/>
  <c r="O113" i="1"/>
  <c r="R113" i="1" s="1"/>
  <c r="S113" i="1" s="1"/>
  <c r="O32" i="1"/>
  <c r="R32" i="1" s="1"/>
  <c r="S32" i="1" s="1"/>
  <c r="O82" i="1"/>
  <c r="R82" i="1" s="1"/>
  <c r="S82" i="1" s="1"/>
  <c r="O66" i="1"/>
  <c r="R66" i="1" s="1"/>
  <c r="S66" i="1" s="1"/>
  <c r="R232" i="3"/>
  <c r="S232" i="3" s="1"/>
  <c r="T232" i="3" s="1"/>
  <c r="R242" i="3"/>
  <c r="S242" i="3" s="1"/>
  <c r="T242" i="3" s="1"/>
  <c r="R207" i="3"/>
  <c r="S207" i="3" s="1"/>
  <c r="T207" i="3" s="1"/>
  <c r="O170" i="1"/>
  <c r="R170" i="1" s="1"/>
  <c r="S170" i="1" s="1"/>
  <c r="O61" i="1"/>
  <c r="R61" i="1" s="1"/>
  <c r="S61" i="1" s="1"/>
  <c r="O60" i="1"/>
  <c r="R60" i="1" s="1"/>
  <c r="S60" i="1" s="1"/>
  <c r="K122" i="1"/>
  <c r="E12" i="6" s="1"/>
  <c r="O147" i="1"/>
  <c r="R147" i="1" s="1"/>
  <c r="S147" i="1" s="1"/>
  <c r="O173" i="1"/>
  <c r="R173" i="1" s="1"/>
  <c r="S173" i="1" s="1"/>
  <c r="O143" i="1"/>
  <c r="R143" i="1" s="1"/>
  <c r="S143" i="1" s="1"/>
  <c r="O133" i="1"/>
  <c r="R133" i="1" s="1"/>
  <c r="S133" i="1" s="1"/>
  <c r="O125" i="1"/>
  <c r="R125" i="1" s="1"/>
  <c r="S125" i="1" s="1"/>
  <c r="O104" i="1"/>
  <c r="R104" i="1" s="1"/>
  <c r="S104" i="1" s="1"/>
  <c r="O64" i="1"/>
  <c r="R64" i="1" s="1"/>
  <c r="S64" i="1" s="1"/>
  <c r="O63" i="1"/>
  <c r="R63" i="1" s="1"/>
  <c r="S63" i="1" s="1"/>
  <c r="O55" i="1"/>
  <c r="R55" i="1" s="1"/>
  <c r="S55" i="1" s="1"/>
  <c r="O54" i="1"/>
  <c r="R54" i="1" s="1"/>
  <c r="S54" i="1" s="1"/>
  <c r="L114" i="1"/>
  <c r="L122" i="1" s="1"/>
  <c r="F12" i="6" s="1"/>
  <c r="O30" i="1"/>
  <c r="R30" i="1" s="1"/>
  <c r="S30" i="1" s="1"/>
  <c r="O56" i="1"/>
  <c r="R56" i="1" s="1"/>
  <c r="S56" i="1" s="1"/>
  <c r="O69" i="1"/>
  <c r="R69" i="1" s="1"/>
  <c r="S69" i="1" s="1"/>
  <c r="O92" i="1"/>
  <c r="R92" i="1" s="1"/>
  <c r="S92" i="1" s="1"/>
  <c r="O70" i="1"/>
  <c r="R70" i="1" s="1"/>
  <c r="S70" i="1" s="1"/>
  <c r="O90" i="1"/>
  <c r="R90" i="1" s="1"/>
  <c r="S90" i="1" s="1"/>
  <c r="K163" i="1"/>
  <c r="E14" i="6" s="1"/>
  <c r="O114" i="1"/>
  <c r="R114" i="1" s="1"/>
  <c r="S114" i="1" s="1"/>
  <c r="O65" i="1"/>
  <c r="R65" i="1" s="1"/>
  <c r="S65" i="1" s="1"/>
  <c r="O88" i="1"/>
  <c r="R88" i="1" s="1"/>
  <c r="S88" i="1" s="1"/>
  <c r="O42" i="1"/>
  <c r="R42" i="1" s="1"/>
  <c r="S42" i="1" s="1"/>
  <c r="O40" i="1"/>
  <c r="R40" i="1" s="1"/>
  <c r="S40" i="1" s="1"/>
  <c r="O24" i="1"/>
  <c r="R24" i="1" s="1"/>
  <c r="S24" i="1" s="1"/>
  <c r="O33" i="1"/>
  <c r="R33" i="1" s="1"/>
  <c r="S33" i="1" s="1"/>
  <c r="O29" i="1"/>
  <c r="R29" i="1" s="1"/>
  <c r="S29" i="1" s="1"/>
  <c r="O28" i="1"/>
  <c r="R28" i="1" s="1"/>
  <c r="S28" i="1" s="1"/>
  <c r="O22" i="1"/>
  <c r="R22" i="1" s="1"/>
  <c r="S22" i="1" s="1"/>
  <c r="O27" i="1"/>
  <c r="R27" i="1" s="1"/>
  <c r="S27" i="1" s="1"/>
  <c r="O95" i="1"/>
  <c r="R95" i="1" s="1"/>
  <c r="S95" i="1" s="1"/>
  <c r="O398" i="3"/>
  <c r="O13" i="3"/>
  <c r="P293" i="3"/>
  <c r="O26" i="1"/>
  <c r="R26" i="1" s="1"/>
  <c r="S26" i="1" s="1"/>
  <c r="O23" i="1"/>
  <c r="R23" i="1" s="1"/>
  <c r="S23" i="1" s="1"/>
  <c r="K38" i="1"/>
  <c r="E7" i="6" s="1"/>
  <c r="L163" i="1"/>
  <c r="F14" i="6" s="1"/>
  <c r="Q134" i="3"/>
  <c r="Q529" i="3"/>
  <c r="O469" i="3"/>
  <c r="O304" i="3"/>
  <c r="O343" i="3"/>
  <c r="Q52" i="3"/>
  <c r="O27" i="3"/>
  <c r="P294" i="3"/>
  <c r="P134" i="3"/>
  <c r="Q333" i="3"/>
  <c r="O292" i="3"/>
  <c r="P138" i="3"/>
  <c r="O68" i="3"/>
  <c r="Q122" i="3"/>
  <c r="O132" i="3"/>
  <c r="Q313" i="3"/>
  <c r="P344" i="3"/>
  <c r="Q533" i="3"/>
  <c r="Q62" i="3"/>
  <c r="O12" i="3"/>
  <c r="Q38" i="3"/>
  <c r="P353" i="3"/>
  <c r="O528" i="3"/>
  <c r="P61" i="3"/>
  <c r="Q148" i="3"/>
  <c r="O453" i="3"/>
  <c r="Q158" i="3"/>
  <c r="P509" i="3"/>
  <c r="Q323" i="3"/>
  <c r="P117" i="3"/>
  <c r="P153" i="3"/>
  <c r="P93" i="3"/>
  <c r="P408" i="3"/>
  <c r="O521" i="3"/>
  <c r="O302" i="3"/>
  <c r="Q149" i="3"/>
  <c r="Q302" i="3"/>
  <c r="O353" i="3"/>
  <c r="P38" i="3"/>
  <c r="O32" i="3"/>
  <c r="P107" i="3"/>
  <c r="Q408" i="3"/>
  <c r="Q378" i="3"/>
  <c r="Q368" i="3"/>
  <c r="P419" i="3"/>
  <c r="P127" i="3"/>
  <c r="Q42" i="3"/>
  <c r="P252" i="3"/>
  <c r="P319" i="3"/>
  <c r="Q334" i="3"/>
  <c r="Q22" i="3"/>
  <c r="O338" i="3"/>
  <c r="P522" i="3"/>
  <c r="P92" i="3"/>
  <c r="Q528" i="3"/>
  <c r="O293" i="3"/>
  <c r="O358" i="3"/>
  <c r="Q117" i="3"/>
  <c r="P535" i="3"/>
  <c r="Q107" i="3"/>
  <c r="O429" i="3"/>
  <c r="P368" i="3"/>
  <c r="O344" i="3"/>
  <c r="Q129" i="3"/>
  <c r="O319" i="3"/>
  <c r="O388" i="3"/>
  <c r="Q93" i="3"/>
  <c r="Q453" i="3"/>
  <c r="P302" i="3"/>
  <c r="Q133" i="3"/>
  <c r="Q521" i="3"/>
  <c r="P299" i="3"/>
  <c r="Q83" i="3"/>
  <c r="Q344" i="3"/>
  <c r="P322" i="3"/>
  <c r="Q535" i="3"/>
  <c r="O122" i="3"/>
  <c r="O97" i="3"/>
  <c r="Q12" i="3"/>
  <c r="Q13" i="3"/>
  <c r="Q32" i="3"/>
  <c r="P52" i="3"/>
  <c r="O334" i="3"/>
  <c r="P398" i="3"/>
  <c r="P378" i="3"/>
  <c r="Q67" i="3"/>
  <c r="P348" i="3"/>
  <c r="P43" i="3"/>
  <c r="P454" i="3"/>
  <c r="O308" i="3"/>
  <c r="O317" i="3"/>
  <c r="Q524" i="3"/>
  <c r="Q388" i="3"/>
  <c r="P358" i="3"/>
  <c r="O299" i="3"/>
  <c r="P521" i="3"/>
  <c r="P369" i="3"/>
  <c r="O252" i="3"/>
  <c r="P128" i="3"/>
  <c r="P147" i="3"/>
  <c r="Q299" i="3"/>
  <c r="P317" i="3"/>
  <c r="Q359" i="3"/>
  <c r="P439" i="3"/>
  <c r="P423" i="3"/>
  <c r="O533" i="3"/>
  <c r="Q294" i="3"/>
  <c r="P308" i="3"/>
  <c r="Q525" i="3"/>
  <c r="Q389" i="3"/>
  <c r="P488" i="3"/>
  <c r="Q513" i="3"/>
  <c r="O389" i="3"/>
  <c r="O423" i="3"/>
  <c r="Q430" i="3"/>
  <c r="Q319" i="3"/>
  <c r="P338" i="3"/>
  <c r="Q92" i="3"/>
  <c r="Q317" i="3"/>
  <c r="P528" i="3"/>
  <c r="Q53" i="3"/>
  <c r="Q157" i="3"/>
  <c r="Q438" i="3"/>
  <c r="Q153" i="3"/>
  <c r="P524" i="3"/>
  <c r="Q43" i="3"/>
  <c r="O112" i="3"/>
  <c r="O23" i="3"/>
  <c r="O62" i="3"/>
  <c r="O158" i="3"/>
  <c r="O42" i="3"/>
  <c r="O137" i="3"/>
  <c r="O143" i="3"/>
  <c r="O22" i="3"/>
  <c r="O139" i="3"/>
  <c r="O53" i="3"/>
  <c r="O38" i="3"/>
  <c r="O33" i="3"/>
  <c r="P320" i="3"/>
  <c r="O518" i="3"/>
  <c r="Q419" i="3"/>
  <c r="P307" i="3"/>
  <c r="O378" i="3"/>
  <c r="O393" i="3"/>
  <c r="Q147" i="3"/>
  <c r="O363" i="3"/>
  <c r="Q338" i="3"/>
  <c r="Q297" i="3"/>
  <c r="O303" i="3"/>
  <c r="Q139" i="3"/>
  <c r="O287" i="3"/>
  <c r="P483" i="3"/>
  <c r="P97" i="3"/>
  <c r="Q252" i="3"/>
  <c r="P63" i="3"/>
  <c r="Q307" i="3"/>
  <c r="P379" i="3"/>
  <c r="O117" i="3"/>
  <c r="O84" i="3"/>
  <c r="O54" i="3"/>
  <c r="P531" i="3"/>
  <c r="Q37" i="3"/>
  <c r="P13" i="3"/>
  <c r="P32" i="3"/>
  <c r="P513" i="3"/>
  <c r="Q247" i="3"/>
  <c r="Q142" i="3"/>
  <c r="P137" i="3"/>
  <c r="P18" i="3"/>
  <c r="P247" i="3"/>
  <c r="O483" i="3"/>
  <c r="O294" i="3"/>
  <c r="O524" i="3"/>
  <c r="Q358" i="3"/>
  <c r="Q483" i="3"/>
  <c r="P288" i="3"/>
  <c r="Q143" i="3"/>
  <c r="O288" i="3"/>
  <c r="O322" i="3"/>
  <c r="O430" i="3"/>
  <c r="P438" i="3"/>
  <c r="Q468" i="3"/>
  <c r="P359" i="3"/>
  <c r="O307" i="3"/>
  <c r="Q469" i="3"/>
  <c r="Q61" i="3"/>
  <c r="P22" i="3"/>
  <c r="P148" i="3"/>
  <c r="Q288" i="3"/>
  <c r="P529" i="3"/>
  <c r="Q287" i="3"/>
  <c r="P158" i="3"/>
  <c r="Q97" i="3"/>
  <c r="Q128" i="3"/>
  <c r="Q127" i="3"/>
  <c r="P149" i="3"/>
  <c r="O147" i="3"/>
  <c r="O128" i="3"/>
  <c r="O83" i="3"/>
  <c r="O129" i="3"/>
  <c r="O18" i="3"/>
  <c r="O134" i="3"/>
  <c r="O153" i="3"/>
  <c r="O52" i="3"/>
  <c r="O531" i="3"/>
  <c r="O323" i="3"/>
  <c r="P468" i="3"/>
  <c r="O535" i="3"/>
  <c r="O433" i="3"/>
  <c r="P287" i="3"/>
  <c r="O408" i="3"/>
  <c r="O413" i="3"/>
  <c r="P42" i="3"/>
  <c r="O383" i="3"/>
  <c r="O468" i="3"/>
  <c r="Q3" i="3"/>
  <c r="P424" i="3"/>
  <c r="Q369" i="3"/>
  <c r="P383" i="3"/>
  <c r="P122" i="3"/>
  <c r="Q399" i="3"/>
  <c r="O92" i="3"/>
  <c r="O133" i="3"/>
  <c r="P12" i="3"/>
  <c r="Q137" i="3"/>
  <c r="O399" i="3"/>
  <c r="P139" i="3"/>
  <c r="Q112" i="3"/>
  <c r="P67" i="3"/>
  <c r="P157" i="3"/>
  <c r="O348" i="3"/>
  <c r="Q424" i="3"/>
  <c r="P53" i="3"/>
  <c r="O438" i="3"/>
  <c r="O522" i="3"/>
  <c r="P112" i="3"/>
  <c r="Q414" i="3"/>
  <c r="Q522" i="3"/>
  <c r="P129" i="3"/>
  <c r="Q308" i="3"/>
  <c r="Q363" i="3"/>
  <c r="O247" i="3"/>
  <c r="O157" i="3"/>
  <c r="O67" i="3"/>
  <c r="O61" i="3"/>
  <c r="Q88" i="3"/>
  <c r="O473" i="3"/>
  <c r="O297" i="3"/>
  <c r="P143" i="3"/>
  <c r="Q293" i="3"/>
  <c r="O419" i="3"/>
  <c r="O2" i="3"/>
  <c r="P2" i="3"/>
  <c r="Q28" i="3"/>
  <c r="O28" i="3"/>
  <c r="P28" i="3"/>
  <c r="O523" i="3"/>
  <c r="Q523" i="3"/>
  <c r="P523" i="3"/>
  <c r="Q463" i="3"/>
  <c r="O463" i="3"/>
  <c r="P463" i="3"/>
  <c r="Q428" i="3"/>
  <c r="O428" i="3"/>
  <c r="P394" i="3"/>
  <c r="Q394" i="3"/>
  <c r="O394" i="3"/>
  <c r="L52" i="1"/>
  <c r="O52" i="1"/>
  <c r="R52" i="1" s="1"/>
  <c r="S52" i="1" s="1"/>
  <c r="O36" i="1"/>
  <c r="R36" i="1" s="1"/>
  <c r="S36" i="1" s="1"/>
  <c r="O148" i="3"/>
  <c r="O3" i="3"/>
  <c r="P429" i="3"/>
  <c r="O313" i="3"/>
  <c r="O384" i="3"/>
  <c r="P54" i="3"/>
  <c r="O454" i="3"/>
  <c r="O359" i="3"/>
  <c r="O57" i="3"/>
  <c r="P57" i="3"/>
  <c r="Q57" i="3"/>
  <c r="P8" i="3"/>
  <c r="O8" i="3"/>
  <c r="Q8" i="3"/>
  <c r="P68" i="3"/>
  <c r="Q68" i="3"/>
  <c r="O508" i="3"/>
  <c r="Q508" i="3"/>
  <c r="P508" i="3"/>
  <c r="O448" i="3"/>
  <c r="Q448" i="3"/>
  <c r="P448" i="3"/>
  <c r="Q418" i="3"/>
  <c r="O418" i="3"/>
  <c r="P418" i="3"/>
  <c r="P384" i="3"/>
  <c r="Q384" i="3"/>
  <c r="O364" i="3"/>
  <c r="Q364" i="3"/>
  <c r="P364" i="3"/>
  <c r="P343" i="3"/>
  <c r="Q343" i="3"/>
  <c r="Q321" i="3"/>
  <c r="P321" i="3"/>
  <c r="O321" i="3"/>
  <c r="P304" i="3"/>
  <c r="O149" i="3"/>
  <c r="Q348" i="3"/>
  <c r="P334" i="3"/>
  <c r="P388" i="3"/>
  <c r="O529" i="3"/>
  <c r="P453" i="3"/>
  <c r="Q328" i="3"/>
  <c r="Q398" i="3"/>
  <c r="P414" i="3"/>
  <c r="Q54" i="3"/>
  <c r="O47" i="3"/>
  <c r="P72" i="3"/>
  <c r="Q443" i="3"/>
  <c r="P433" i="3"/>
  <c r="O424" i="3"/>
  <c r="P363" i="3"/>
  <c r="P328" i="3"/>
  <c r="O320" i="3"/>
  <c r="P84" i="3"/>
  <c r="K67" i="1"/>
  <c r="E9" i="6" s="1"/>
  <c r="L38" i="1"/>
  <c r="F7" i="6" s="1"/>
  <c r="O107" i="3"/>
  <c r="P62" i="3"/>
  <c r="P428" i="3"/>
  <c r="Q322" i="3"/>
  <c r="O509" i="3"/>
  <c r="Q48" i="3"/>
  <c r="O48" i="3"/>
  <c r="P48" i="3"/>
  <c r="Q527" i="3"/>
  <c r="O527" i="3"/>
  <c r="P527" i="3"/>
  <c r="O478" i="3"/>
  <c r="Q478" i="3"/>
  <c r="P478" i="3"/>
  <c r="P434" i="3"/>
  <c r="O434" i="3"/>
  <c r="Q434" i="3"/>
  <c r="O404" i="3"/>
  <c r="Q404" i="3"/>
  <c r="P374" i="3"/>
  <c r="Q374" i="3"/>
  <c r="P350" i="3"/>
  <c r="Q350" i="3"/>
  <c r="P333" i="3"/>
  <c r="O333" i="3"/>
  <c r="P313" i="3"/>
  <c r="P298" i="3"/>
  <c r="O298" i="3"/>
  <c r="Q298" i="3"/>
  <c r="P292" i="3"/>
  <c r="O263" i="3"/>
  <c r="Q263" i="3"/>
  <c r="P263" i="3"/>
  <c r="P152" i="3"/>
  <c r="Q152" i="3"/>
  <c r="O152" i="3"/>
  <c r="P144" i="3"/>
  <c r="Q144" i="3"/>
  <c r="O144" i="3"/>
  <c r="Q138" i="3"/>
  <c r="O138" i="3"/>
  <c r="Q132" i="3"/>
  <c r="P123" i="3"/>
  <c r="Q123" i="3"/>
  <c r="O123" i="3"/>
  <c r="P102" i="3"/>
  <c r="O102" i="3"/>
  <c r="Q102" i="3"/>
  <c r="O88" i="3"/>
  <c r="P88" i="3"/>
  <c r="Q77" i="3"/>
  <c r="P77" i="3"/>
  <c r="O77" i="3"/>
  <c r="O127" i="3"/>
  <c r="O72" i="3"/>
  <c r="Q304" i="3"/>
  <c r="Q509" i="3"/>
  <c r="P132" i="3"/>
  <c r="P133" i="3"/>
  <c r="O350" i="3"/>
  <c r="Q27" i="3"/>
  <c r="O374" i="3"/>
  <c r="P83" i="3"/>
  <c r="Q2" i="3"/>
  <c r="O93" i="3"/>
  <c r="O142" i="3"/>
  <c r="O43" i="3"/>
  <c r="Q47" i="3"/>
  <c r="Q84" i="3"/>
  <c r="Q373" i="3"/>
  <c r="Q413" i="3"/>
  <c r="O328" i="3"/>
  <c r="Q292" i="3"/>
  <c r="Q18" i="3"/>
  <c r="P533" i="3"/>
  <c r="P142" i="3"/>
  <c r="Q429" i="3"/>
  <c r="P443" i="3"/>
  <c r="O368" i="3"/>
  <c r="P297" i="3"/>
  <c r="P404" i="3"/>
  <c r="P413" i="3"/>
  <c r="Q353" i="3"/>
  <c r="Q63" i="3"/>
  <c r="P526" i="3"/>
  <c r="Q526" i="3"/>
  <c r="Q473" i="3"/>
  <c r="P403" i="3"/>
  <c r="O403" i="3"/>
  <c r="P373" i="3"/>
  <c r="O373" i="3"/>
  <c r="Q339" i="3"/>
  <c r="Q312" i="3"/>
  <c r="P312" i="3"/>
  <c r="O312" i="3"/>
  <c r="Q33" i="3"/>
  <c r="P33" i="3"/>
  <c r="O118" i="1"/>
  <c r="R118" i="1" s="1"/>
  <c r="S118" i="1" s="1"/>
  <c r="O78" i="1"/>
  <c r="R78" i="1" s="1"/>
  <c r="S78" i="1" s="1"/>
  <c r="O48" i="1"/>
  <c r="R48" i="1" s="1"/>
  <c r="S48" i="1" s="1"/>
  <c r="O44" i="1"/>
  <c r="R44" i="1" s="1"/>
  <c r="S44" i="1" s="1"/>
  <c r="O41" i="1"/>
  <c r="R41" i="1" s="1"/>
  <c r="S41" i="1" s="1"/>
  <c r="O89" i="1"/>
  <c r="R89" i="1" s="1"/>
  <c r="S89" i="1" s="1"/>
  <c r="P27" i="3"/>
  <c r="O7" i="3"/>
  <c r="P7" i="3"/>
  <c r="P518" i="3"/>
  <c r="Q518" i="3"/>
  <c r="Q458" i="3"/>
  <c r="Q383" i="3"/>
  <c r="O349" i="3"/>
  <c r="P349" i="3"/>
  <c r="Q349" i="3"/>
  <c r="Q303" i="3"/>
  <c r="P289" i="3"/>
  <c r="Q289" i="3"/>
  <c r="Q262" i="3"/>
  <c r="O73" i="3"/>
  <c r="O74" i="1"/>
  <c r="R74" i="1" s="1"/>
  <c r="S74" i="1" s="1"/>
  <c r="O25" i="1"/>
  <c r="R25" i="1" s="1"/>
  <c r="S25" i="1" s="1"/>
  <c r="Q433" i="3"/>
  <c r="P458" i="3"/>
  <c r="Q403" i="3"/>
  <c r="P473" i="3"/>
  <c r="P73" i="3"/>
  <c r="P303" i="3"/>
  <c r="O289" i="3"/>
  <c r="O526" i="3"/>
  <c r="Q72" i="3"/>
  <c r="O339" i="3"/>
  <c r="Q73" i="3"/>
  <c r="O262" i="3"/>
  <c r="Q23" i="3"/>
  <c r="P23" i="3"/>
  <c r="P3" i="3"/>
  <c r="O525" i="3"/>
  <c r="P525" i="3"/>
  <c r="O513" i="3"/>
  <c r="O488" i="3"/>
  <c r="Q488" i="3"/>
  <c r="P469" i="3"/>
  <c r="Q454" i="3"/>
  <c r="Q439" i="3"/>
  <c r="O439" i="3"/>
  <c r="P430" i="3"/>
  <c r="Q423" i="3"/>
  <c r="P399" i="3"/>
  <c r="P389" i="3"/>
  <c r="Q379" i="3"/>
  <c r="O379" i="3"/>
  <c r="O369" i="3"/>
  <c r="P37" i="3"/>
  <c r="P47" i="3"/>
  <c r="P498" i="3"/>
  <c r="O498" i="3"/>
  <c r="O443" i="3"/>
  <c r="O414" i="3"/>
  <c r="Q393" i="3"/>
  <c r="P393" i="3"/>
  <c r="Q320" i="3"/>
  <c r="O63" i="3"/>
  <c r="Q498" i="3"/>
  <c r="P339" i="3"/>
  <c r="O458" i="3"/>
  <c r="Q7" i="3"/>
  <c r="P262" i="3"/>
  <c r="L41" i="1"/>
  <c r="K53" i="1"/>
  <c r="E8" i="6" s="1"/>
  <c r="K141" i="1"/>
  <c r="L124" i="1"/>
  <c r="L141" i="1" s="1"/>
  <c r="F13" i="6" s="1"/>
  <c r="O34" i="1"/>
  <c r="R34" i="1" s="1"/>
  <c r="S34" i="1" s="1"/>
  <c r="R227" i="3"/>
  <c r="S227" i="3" s="1"/>
  <c r="T227" i="3" s="1"/>
  <c r="L68" i="1"/>
  <c r="L94" i="1" s="1"/>
  <c r="K94" i="1"/>
  <c r="E10" i="6" s="1"/>
  <c r="O68" i="1"/>
  <c r="R68" i="1" s="1"/>
  <c r="S68" i="1" s="1"/>
  <c r="O91" i="1"/>
  <c r="R91" i="1" s="1"/>
  <c r="S91" i="1" s="1"/>
  <c r="O37" i="3"/>
  <c r="O51" i="1"/>
  <c r="R51" i="1" s="1"/>
  <c r="S51" i="1" s="1"/>
  <c r="L112" i="1"/>
  <c r="F11" i="6" s="1"/>
  <c r="C96" i="3"/>
  <c r="C70" i="3"/>
  <c r="C81" i="3"/>
  <c r="C86" i="3"/>
  <c r="C91" i="3"/>
  <c r="C85" i="3"/>
  <c r="C74" i="3"/>
  <c r="C79" i="3"/>
  <c r="C89" i="3"/>
  <c r="C90" i="3"/>
  <c r="C80" i="3"/>
  <c r="C78" i="3"/>
  <c r="C87" i="3"/>
  <c r="C94" i="3"/>
  <c r="C95" i="3"/>
  <c r="C69" i="3"/>
  <c r="O37" i="1"/>
  <c r="R37" i="1" s="1"/>
  <c r="S37" i="1" s="1"/>
  <c r="O35" i="1"/>
  <c r="R35" i="1" s="1"/>
  <c r="S35" i="1" s="1"/>
  <c r="K112" i="1"/>
  <c r="E11" i="6" s="1"/>
  <c r="C264" i="3"/>
  <c r="C254" i="3"/>
  <c r="C232" i="3"/>
  <c r="C201" i="3"/>
  <c r="C203" i="3"/>
  <c r="C222" i="3"/>
  <c r="C212" i="3"/>
  <c r="C248" i="3"/>
  <c r="C200" i="3"/>
  <c r="C261" i="3"/>
  <c r="C251" i="3"/>
  <c r="C208" i="3"/>
  <c r="C240" i="3"/>
  <c r="C209" i="3"/>
  <c r="C199" i="3"/>
  <c r="C246" i="3"/>
  <c r="C214" i="3"/>
  <c r="C255" i="3"/>
  <c r="C236" i="3"/>
  <c r="C260" i="3"/>
  <c r="C198" i="3"/>
  <c r="C242" i="3"/>
  <c r="C210" i="3"/>
  <c r="C243" i="3"/>
  <c r="C227" i="3"/>
  <c r="C211" i="3"/>
  <c r="C256" i="3"/>
  <c r="C238" i="3"/>
  <c r="C258" i="3"/>
  <c r="C250" i="3"/>
  <c r="C202" i="3"/>
  <c r="C223" i="3"/>
  <c r="C245" i="3"/>
  <c r="C259" i="3"/>
  <c r="C216" i="3"/>
  <c r="C230" i="3"/>
  <c r="C244" i="3"/>
  <c r="C265" i="3"/>
  <c r="C234" i="3"/>
  <c r="C239" i="3"/>
  <c r="C219" i="3"/>
  <c r="C241" i="3"/>
  <c r="C225" i="3"/>
  <c r="C257" i="3"/>
  <c r="C266" i="3"/>
  <c r="C224" i="3"/>
  <c r="C197" i="3"/>
  <c r="C220" i="3"/>
  <c r="C206" i="3"/>
  <c r="C226" i="3"/>
  <c r="C235" i="3"/>
  <c r="C215" i="3"/>
  <c r="C237" i="3"/>
  <c r="C221" i="3"/>
  <c r="C49" i="3"/>
  <c r="C401" i="3"/>
  <c r="C377" i="3"/>
  <c r="C345" i="3"/>
  <c r="C324" i="3"/>
  <c r="C415" i="3"/>
  <c r="C173" i="3"/>
  <c r="C169" i="3"/>
  <c r="C166" i="3"/>
  <c r="C151" i="3"/>
  <c r="C131" i="3"/>
  <c r="C113" i="3"/>
  <c r="C103" i="3"/>
  <c r="C101" i="3"/>
  <c r="C106" i="3"/>
  <c r="C116" i="3"/>
  <c r="C126" i="3"/>
  <c r="C140" i="3"/>
  <c r="C161" i="3"/>
  <c r="C176" i="3"/>
  <c r="C164" i="3"/>
  <c r="C156" i="3"/>
  <c r="C136" i="3"/>
  <c r="C120" i="3"/>
  <c r="C110" i="3"/>
  <c r="C99" i="3"/>
  <c r="C104" i="3"/>
  <c r="C114" i="3"/>
  <c r="C124" i="3"/>
  <c r="C145" i="3"/>
  <c r="C159" i="3"/>
  <c r="C174" i="3"/>
  <c r="C411" i="3"/>
  <c r="C392" i="3"/>
  <c r="C370" i="3"/>
  <c r="C356" i="3"/>
  <c r="C336" i="3"/>
  <c r="C416" i="3"/>
  <c r="C192" i="3"/>
  <c r="C109" i="3"/>
  <c r="C35" i="3"/>
  <c r="C24" i="3"/>
  <c r="C391" i="3"/>
  <c r="C367" i="3"/>
  <c r="C335" i="3"/>
  <c r="C417" i="3"/>
  <c r="C115" i="3"/>
  <c r="C146" i="3"/>
  <c r="L57" i="1"/>
  <c r="O57" i="1"/>
  <c r="R57" i="1" s="1"/>
  <c r="S57" i="1" s="1"/>
  <c r="O58" i="1"/>
  <c r="R58" i="1" s="1"/>
  <c r="S58" i="1" s="1"/>
  <c r="C59" i="3"/>
  <c r="C19" i="3"/>
  <c r="C41" i="3"/>
  <c r="C45" i="3"/>
  <c r="C64" i="3"/>
  <c r="C51" i="3"/>
  <c r="C15" i="3"/>
  <c r="C30" i="3"/>
  <c r="C6" i="3"/>
  <c r="C10" i="3"/>
  <c r="C66" i="3"/>
  <c r="C9" i="3"/>
  <c r="C17" i="3"/>
  <c r="C44" i="3"/>
  <c r="C21" i="3"/>
  <c r="C34" i="3"/>
  <c r="C178" i="3"/>
  <c r="C329" i="3"/>
  <c r="C341" i="3"/>
  <c r="C357" i="3"/>
  <c r="C365" i="3"/>
  <c r="C381" i="3"/>
  <c r="C397" i="3"/>
  <c r="C405" i="3"/>
  <c r="C188" i="3"/>
  <c r="C191" i="3"/>
  <c r="C186" i="3"/>
  <c r="C194" i="3"/>
  <c r="C331" i="3"/>
  <c r="C347" i="3"/>
  <c r="C355" i="3"/>
  <c r="C371" i="3"/>
  <c r="C387" i="3"/>
  <c r="C395" i="3"/>
  <c r="C180" i="3"/>
  <c r="C189" i="3"/>
  <c r="C325" i="3"/>
  <c r="C342" i="3"/>
  <c r="C354" i="3"/>
  <c r="C366" i="3"/>
  <c r="C382" i="3"/>
  <c r="C390" i="3"/>
  <c r="C406" i="3"/>
  <c r="O59" i="1"/>
  <c r="R59" i="1" s="1"/>
  <c r="S59" i="1" s="1"/>
  <c r="O21" i="1"/>
  <c r="R21" i="1" s="1"/>
  <c r="S21" i="1" s="1"/>
  <c r="C282" i="3"/>
  <c r="C310" i="3"/>
  <c r="O62" i="1"/>
  <c r="R62" i="1" s="1"/>
  <c r="S62" i="1" s="1"/>
  <c r="O31" i="1"/>
  <c r="R31" i="1" s="1"/>
  <c r="S31" i="1" s="1"/>
  <c r="O84" i="1"/>
  <c r="R84" i="1" s="1"/>
  <c r="S84" i="1" s="1"/>
  <c r="O83" i="1"/>
  <c r="R83" i="1" s="1"/>
  <c r="S83" i="1" s="1"/>
  <c r="O81" i="1"/>
  <c r="R81" i="1" s="1"/>
  <c r="S81" i="1" s="1"/>
  <c r="O97" i="1"/>
  <c r="R97" i="1" s="1"/>
  <c r="S97" i="1" s="1"/>
  <c r="R294" i="3" l="1"/>
  <c r="R531" i="3"/>
  <c r="R287" i="3"/>
  <c r="S287" i="3" s="1"/>
  <c r="T287" i="3" s="1"/>
  <c r="R42" i="3"/>
  <c r="S42" i="3" s="1"/>
  <c r="T42" i="3" s="1"/>
  <c r="P82" i="3"/>
  <c r="R27" i="3"/>
  <c r="S27" i="3" s="1"/>
  <c r="T27" i="3" s="1"/>
  <c r="Q82" i="3"/>
  <c r="R247" i="3"/>
  <c r="S247" i="3" s="1"/>
  <c r="T247" i="3" s="1"/>
  <c r="R112" i="3"/>
  <c r="F18" i="6"/>
  <c r="R132" i="3"/>
  <c r="S132" i="3" s="1"/>
  <c r="T132" i="3" s="1"/>
  <c r="R388" i="3"/>
  <c r="S388" i="3" s="1"/>
  <c r="T388" i="3" s="1"/>
  <c r="R134" i="3"/>
  <c r="S134" i="3" s="1"/>
  <c r="T134" i="3" s="1"/>
  <c r="R303" i="3"/>
  <c r="S303" i="3" s="1"/>
  <c r="T303" i="3" s="1"/>
  <c r="R373" i="3"/>
  <c r="S373" i="3" s="1"/>
  <c r="T373" i="3" s="1"/>
  <c r="R430" i="3"/>
  <c r="S430" i="3" s="1"/>
  <c r="T430" i="3" s="1"/>
  <c r="R313" i="3"/>
  <c r="S313" i="3" s="1"/>
  <c r="T313" i="3" s="1"/>
  <c r="R533" i="3"/>
  <c r="S533" i="3" s="1"/>
  <c r="T533" i="3" s="1"/>
  <c r="R333" i="3"/>
  <c r="S333" i="3" s="1"/>
  <c r="T333" i="3" s="1"/>
  <c r="R83" i="3"/>
  <c r="S83" i="3" s="1"/>
  <c r="T83" i="3" s="1"/>
  <c r="R37" i="3"/>
  <c r="S37" i="3" s="1"/>
  <c r="T37" i="3" s="1"/>
  <c r="R389" i="3"/>
  <c r="S389" i="3" s="1"/>
  <c r="T389" i="3" s="1"/>
  <c r="L67" i="1"/>
  <c r="F9" i="6" s="1"/>
  <c r="R143" i="3"/>
  <c r="S143" i="3" s="1"/>
  <c r="T143" i="3" s="1"/>
  <c r="R32" i="3"/>
  <c r="S32" i="3" s="1"/>
  <c r="T32" i="3" s="1"/>
  <c r="R525" i="3"/>
  <c r="S525" i="3" s="1"/>
  <c r="T525" i="3" s="1"/>
  <c r="R88" i="3"/>
  <c r="S88" i="3" s="1"/>
  <c r="T88" i="3" s="1"/>
  <c r="R53" i="3"/>
  <c r="S53" i="3" s="1"/>
  <c r="T53" i="3" s="1"/>
  <c r="R529" i="3"/>
  <c r="S529" i="3" s="1"/>
  <c r="T529" i="3" s="1"/>
  <c r="R122" i="3"/>
  <c r="S122" i="3" s="1"/>
  <c r="T122" i="3" s="1"/>
  <c r="R133" i="3"/>
  <c r="S133" i="3" s="1"/>
  <c r="T133" i="3" s="1"/>
  <c r="R428" i="3"/>
  <c r="S428" i="3" s="1"/>
  <c r="T428" i="3" s="1"/>
  <c r="R62" i="3"/>
  <c r="S62" i="3" s="1"/>
  <c r="T62" i="3" s="1"/>
  <c r="R293" i="3"/>
  <c r="S293" i="3" s="1"/>
  <c r="T293" i="3" s="1"/>
  <c r="R52" i="3"/>
  <c r="S52" i="3" s="1"/>
  <c r="T52" i="3" s="1"/>
  <c r="R404" i="3"/>
  <c r="S404" i="3" s="1"/>
  <c r="T404" i="3" s="1"/>
  <c r="R142" i="3"/>
  <c r="S142" i="3" s="1"/>
  <c r="T142" i="3" s="1"/>
  <c r="R414" i="3"/>
  <c r="S414" i="3" s="1"/>
  <c r="T414" i="3" s="1"/>
  <c r="R12" i="3"/>
  <c r="S12" i="3" s="1"/>
  <c r="T12" i="3" s="1"/>
  <c r="R399" i="3"/>
  <c r="S399" i="3" s="1"/>
  <c r="T399" i="3" s="1"/>
  <c r="R138" i="3"/>
  <c r="S138" i="3" s="1"/>
  <c r="T138" i="3" s="1"/>
  <c r="R149" i="3"/>
  <c r="S149" i="3" s="1"/>
  <c r="T149" i="3" s="1"/>
  <c r="R438" i="3"/>
  <c r="S438" i="3" s="1"/>
  <c r="T438" i="3" s="1"/>
  <c r="R22" i="3"/>
  <c r="S22" i="3" s="1"/>
  <c r="T22" i="3" s="1"/>
  <c r="R359" i="3"/>
  <c r="S359" i="3" s="1"/>
  <c r="T359" i="3" s="1"/>
  <c r="R528" i="3"/>
  <c r="S528" i="3" s="1"/>
  <c r="T528" i="3" s="1"/>
  <c r="R77" i="3"/>
  <c r="S77" i="3" s="1"/>
  <c r="T77" i="3" s="1"/>
  <c r="R378" i="3"/>
  <c r="S378" i="3" s="1"/>
  <c r="T378" i="3" s="1"/>
  <c r="R297" i="3"/>
  <c r="S297" i="3" s="1"/>
  <c r="T297" i="3" s="1"/>
  <c r="R453" i="3"/>
  <c r="S453" i="3" s="1"/>
  <c r="T453" i="3" s="1"/>
  <c r="R321" i="3"/>
  <c r="S321" i="3" s="1"/>
  <c r="T321" i="3" s="1"/>
  <c r="R364" i="3"/>
  <c r="S364" i="3" s="1"/>
  <c r="T364" i="3" s="1"/>
  <c r="R323" i="3"/>
  <c r="S323" i="3" s="1"/>
  <c r="T323" i="3" s="1"/>
  <c r="S531" i="3"/>
  <c r="T531" i="3" s="1"/>
  <c r="R13" i="3"/>
  <c r="S13" i="3" s="1"/>
  <c r="T13" i="3" s="1"/>
  <c r="R38" i="3"/>
  <c r="S38" i="3" s="1"/>
  <c r="T38" i="3" s="1"/>
  <c r="R344" i="3"/>
  <c r="S344" i="3" s="1"/>
  <c r="T344" i="3" s="1"/>
  <c r="R262" i="3"/>
  <c r="S262" i="3" s="1"/>
  <c r="T262" i="3" s="1"/>
  <c r="R363" i="3"/>
  <c r="S363" i="3" s="1"/>
  <c r="T363" i="3" s="1"/>
  <c r="R129" i="3"/>
  <c r="S129" i="3" s="1"/>
  <c r="T129" i="3" s="1"/>
  <c r="R148" i="3"/>
  <c r="S148" i="3" s="1"/>
  <c r="T148" i="3" s="1"/>
  <c r="R513" i="3"/>
  <c r="S513" i="3" s="1"/>
  <c r="T513" i="3" s="1"/>
  <c r="R393" i="3"/>
  <c r="S393" i="3" s="1"/>
  <c r="T393" i="3" s="1"/>
  <c r="R48" i="3"/>
  <c r="S48" i="3" s="1"/>
  <c r="T48" i="3" s="1"/>
  <c r="R328" i="3"/>
  <c r="S328" i="3" s="1"/>
  <c r="T328" i="3" s="1"/>
  <c r="R368" i="3"/>
  <c r="S368" i="3" s="1"/>
  <c r="T368" i="3" s="1"/>
  <c r="R524" i="3"/>
  <c r="S524" i="3" s="1"/>
  <c r="T524" i="3" s="1"/>
  <c r="R302" i="3"/>
  <c r="S302" i="3" s="1"/>
  <c r="T302" i="3" s="1"/>
  <c r="L53" i="1"/>
  <c r="F8" i="6" s="1"/>
  <c r="R535" i="3"/>
  <c r="R307" i="3"/>
  <c r="S307" i="3" s="1"/>
  <c r="T307" i="3" s="1"/>
  <c r="R317" i="3"/>
  <c r="S317" i="3" s="1"/>
  <c r="T317" i="3" s="1"/>
  <c r="R127" i="3"/>
  <c r="S127" i="3" s="1"/>
  <c r="T127" i="3" s="1"/>
  <c r="R153" i="3"/>
  <c r="S153" i="3" s="1"/>
  <c r="T153" i="3" s="1"/>
  <c r="R526" i="3"/>
  <c r="S526" i="3" s="1"/>
  <c r="T526" i="3" s="1"/>
  <c r="R123" i="3"/>
  <c r="S123" i="3" s="1"/>
  <c r="T123" i="3" s="1"/>
  <c r="R298" i="3"/>
  <c r="S298" i="3" s="1"/>
  <c r="T298" i="3" s="1"/>
  <c r="R527" i="3"/>
  <c r="S527" i="3" s="1"/>
  <c r="T527" i="3" s="1"/>
  <c r="R463" i="3"/>
  <c r="S463" i="3" s="1"/>
  <c r="T463" i="3" s="1"/>
  <c r="R107" i="3"/>
  <c r="S107" i="3" s="1"/>
  <c r="T107" i="3" s="1"/>
  <c r="R473" i="3"/>
  <c r="S473" i="3" s="1"/>
  <c r="T473" i="3" s="1"/>
  <c r="R349" i="3"/>
  <c r="S349" i="3" s="1"/>
  <c r="T349" i="3" s="1"/>
  <c r="R403" i="3"/>
  <c r="S403" i="3" s="1"/>
  <c r="T403" i="3" s="1"/>
  <c r="R102" i="3"/>
  <c r="S102" i="3" s="1"/>
  <c r="T102" i="3" s="1"/>
  <c r="R350" i="3"/>
  <c r="S350" i="3" s="1"/>
  <c r="T350" i="3" s="1"/>
  <c r="R478" i="3"/>
  <c r="S478" i="3" s="1"/>
  <c r="T478" i="3" s="1"/>
  <c r="R343" i="3"/>
  <c r="S343" i="3" s="1"/>
  <c r="T343" i="3" s="1"/>
  <c r="R68" i="3"/>
  <c r="S68" i="3" s="1"/>
  <c r="T68" i="3" s="1"/>
  <c r="R429" i="3"/>
  <c r="S429" i="3" s="1"/>
  <c r="T429" i="3" s="1"/>
  <c r="F10" i="6"/>
  <c r="R358" i="3"/>
  <c r="S358" i="3" s="1"/>
  <c r="T358" i="3" s="1"/>
  <c r="R92" i="3"/>
  <c r="S92" i="3" s="1"/>
  <c r="T92" i="3" s="1"/>
  <c r="Q87" i="3"/>
  <c r="P87" i="3"/>
  <c r="O87" i="3"/>
  <c r="R498" i="3"/>
  <c r="S498" i="3" s="1"/>
  <c r="T498" i="3" s="1"/>
  <c r="R3" i="3"/>
  <c r="S3" i="3" s="1"/>
  <c r="T3" i="3" s="1"/>
  <c r="R289" i="3"/>
  <c r="S289" i="3" s="1"/>
  <c r="T289" i="3" s="1"/>
  <c r="R518" i="3"/>
  <c r="S518" i="3" s="1"/>
  <c r="T518" i="3" s="1"/>
  <c r="R84" i="3"/>
  <c r="S84" i="3" s="1"/>
  <c r="T84" i="3" s="1"/>
  <c r="R72" i="3"/>
  <c r="S72" i="3" s="1"/>
  <c r="T72" i="3" s="1"/>
  <c r="R384" i="3"/>
  <c r="S384" i="3" s="1"/>
  <c r="T384" i="3" s="1"/>
  <c r="R57" i="3"/>
  <c r="S57" i="3" s="1"/>
  <c r="T57" i="3" s="1"/>
  <c r="R54" i="3"/>
  <c r="S54" i="3" s="1"/>
  <c r="T54" i="3" s="1"/>
  <c r="R2" i="3"/>
  <c r="S2" i="3" s="1"/>
  <c r="R139" i="3"/>
  <c r="S139" i="3" s="1"/>
  <c r="T139" i="3" s="1"/>
  <c r="R383" i="3"/>
  <c r="S383" i="3" s="1"/>
  <c r="T383" i="3" s="1"/>
  <c r="R468" i="3"/>
  <c r="S468" i="3" s="1"/>
  <c r="T468" i="3" s="1"/>
  <c r="R158" i="3"/>
  <c r="S158" i="3" s="1"/>
  <c r="T158" i="3" s="1"/>
  <c r="R18" i="3"/>
  <c r="S18" i="3" s="1"/>
  <c r="T18" i="3" s="1"/>
  <c r="R379" i="3"/>
  <c r="S379" i="3" s="1"/>
  <c r="T379" i="3" s="1"/>
  <c r="R97" i="3"/>
  <c r="S97" i="3" s="1"/>
  <c r="T97" i="3" s="1"/>
  <c r="R338" i="3"/>
  <c r="S338" i="3" s="1"/>
  <c r="T338" i="3" s="1"/>
  <c r="R423" i="3"/>
  <c r="S423" i="3" s="1"/>
  <c r="T423" i="3" s="1"/>
  <c r="R369" i="3"/>
  <c r="S369" i="3" s="1"/>
  <c r="T369" i="3" s="1"/>
  <c r="R454" i="3"/>
  <c r="S454" i="3" s="1"/>
  <c r="T454" i="3" s="1"/>
  <c r="R522" i="3"/>
  <c r="S522" i="3" s="1"/>
  <c r="T522" i="3" s="1"/>
  <c r="R319" i="3"/>
  <c r="S319" i="3" s="1"/>
  <c r="T319" i="3" s="1"/>
  <c r="R419" i="3"/>
  <c r="S419" i="3" s="1"/>
  <c r="T419" i="3" s="1"/>
  <c r="R117" i="3"/>
  <c r="S117" i="3" s="1"/>
  <c r="T117" i="3" s="1"/>
  <c r="R353" i="3"/>
  <c r="S353" i="3" s="1"/>
  <c r="T353" i="3" s="1"/>
  <c r="P417" i="3"/>
  <c r="Q417" i="3"/>
  <c r="O417" i="3"/>
  <c r="P257" i="3"/>
  <c r="O257" i="3"/>
  <c r="Q257" i="3"/>
  <c r="O78" i="3"/>
  <c r="Q78" i="3"/>
  <c r="P78" i="3"/>
  <c r="E13" i="6"/>
  <c r="K165" i="1"/>
  <c r="R47" i="3"/>
  <c r="S47" i="3" s="1"/>
  <c r="T47" i="3" s="1"/>
  <c r="R23" i="3"/>
  <c r="S23" i="3" s="1"/>
  <c r="T23" i="3" s="1"/>
  <c r="R458" i="3"/>
  <c r="S458" i="3" s="1"/>
  <c r="T458" i="3" s="1"/>
  <c r="R7" i="3"/>
  <c r="S7" i="3" s="1"/>
  <c r="T7" i="3" s="1"/>
  <c r="R312" i="3"/>
  <c r="S312" i="3" s="1"/>
  <c r="T312" i="3" s="1"/>
  <c r="R413" i="3"/>
  <c r="S413" i="3" s="1"/>
  <c r="T413" i="3" s="1"/>
  <c r="R443" i="3"/>
  <c r="S443" i="3" s="1"/>
  <c r="T443" i="3" s="1"/>
  <c r="P3" i="1"/>
  <c r="R144" i="3"/>
  <c r="S144" i="3" s="1"/>
  <c r="T144" i="3" s="1"/>
  <c r="R152" i="3"/>
  <c r="S152" i="3" s="1"/>
  <c r="T152" i="3" s="1"/>
  <c r="R292" i="3"/>
  <c r="S292" i="3" s="1"/>
  <c r="T292" i="3" s="1"/>
  <c r="R374" i="3"/>
  <c r="S374" i="3" s="1"/>
  <c r="T374" i="3" s="1"/>
  <c r="R334" i="3"/>
  <c r="S334" i="3" s="1"/>
  <c r="T334" i="3" s="1"/>
  <c r="R304" i="3"/>
  <c r="S304" i="3" s="1"/>
  <c r="T304" i="3" s="1"/>
  <c r="R418" i="3"/>
  <c r="S418" i="3" s="1"/>
  <c r="T418" i="3" s="1"/>
  <c r="R448" i="3"/>
  <c r="S448" i="3" s="1"/>
  <c r="T448" i="3" s="1"/>
  <c r="R508" i="3"/>
  <c r="S508" i="3" s="1"/>
  <c r="T508" i="3" s="1"/>
  <c r="R28" i="3"/>
  <c r="S28" i="3" s="1"/>
  <c r="T28" i="3" s="1"/>
  <c r="R157" i="3"/>
  <c r="S157" i="3" s="1"/>
  <c r="T157" i="3" s="1"/>
  <c r="R288" i="3"/>
  <c r="S288" i="3" s="1"/>
  <c r="T288" i="3" s="1"/>
  <c r="S294" i="3"/>
  <c r="T294" i="3" s="1"/>
  <c r="R137" i="3"/>
  <c r="S137" i="3" s="1"/>
  <c r="T137" i="3" s="1"/>
  <c r="R483" i="3"/>
  <c r="S483" i="3" s="1"/>
  <c r="T483" i="3" s="1"/>
  <c r="R308" i="3"/>
  <c r="S308" i="3" s="1"/>
  <c r="T308" i="3" s="1"/>
  <c r="R439" i="3"/>
  <c r="S439" i="3" s="1"/>
  <c r="T439" i="3" s="1"/>
  <c r="R147" i="3"/>
  <c r="S147" i="3" s="1"/>
  <c r="T147" i="3" s="1"/>
  <c r="R521" i="3"/>
  <c r="S521" i="3" s="1"/>
  <c r="T521" i="3" s="1"/>
  <c r="R43" i="3"/>
  <c r="S43" i="3" s="1"/>
  <c r="T43" i="3" s="1"/>
  <c r="R398" i="3"/>
  <c r="S398" i="3" s="1"/>
  <c r="T398" i="3" s="1"/>
  <c r="R299" i="3"/>
  <c r="S299" i="3" s="1"/>
  <c r="T299" i="3" s="1"/>
  <c r="R252" i="3"/>
  <c r="S252" i="3" s="1"/>
  <c r="T252" i="3" s="1"/>
  <c r="R408" i="3"/>
  <c r="S408" i="3" s="1"/>
  <c r="T408" i="3" s="1"/>
  <c r="Q17" i="3"/>
  <c r="P17" i="3"/>
  <c r="O17" i="3"/>
  <c r="R339" i="3"/>
  <c r="S339" i="3" s="1"/>
  <c r="T339" i="3" s="1"/>
  <c r="R469" i="3"/>
  <c r="S469" i="3" s="1"/>
  <c r="T469" i="3" s="1"/>
  <c r="R73" i="3"/>
  <c r="S73" i="3" s="1"/>
  <c r="T73" i="3" s="1"/>
  <c r="R33" i="3"/>
  <c r="S33" i="3" s="1"/>
  <c r="T33" i="3" s="1"/>
  <c r="R263" i="3"/>
  <c r="S263" i="3" s="1"/>
  <c r="T263" i="3" s="1"/>
  <c r="R434" i="3"/>
  <c r="S434" i="3" s="1"/>
  <c r="T434" i="3" s="1"/>
  <c r="R433" i="3"/>
  <c r="S433" i="3" s="1"/>
  <c r="T433" i="3" s="1"/>
  <c r="R8" i="3"/>
  <c r="S8" i="3" s="1"/>
  <c r="T8" i="3" s="1"/>
  <c r="R394" i="3"/>
  <c r="S394" i="3" s="1"/>
  <c r="T394" i="3" s="1"/>
  <c r="R523" i="3"/>
  <c r="S523" i="3" s="1"/>
  <c r="T523" i="3" s="1"/>
  <c r="R67" i="3"/>
  <c r="S67" i="3" s="1"/>
  <c r="T67" i="3" s="1"/>
  <c r="R424" i="3"/>
  <c r="S424" i="3" s="1"/>
  <c r="T424" i="3" s="1"/>
  <c r="R82" i="3"/>
  <c r="S82" i="3" s="1"/>
  <c r="T82" i="3" s="1"/>
  <c r="R63" i="3"/>
  <c r="S63" i="3" s="1"/>
  <c r="T63" i="3" s="1"/>
  <c r="R320" i="3"/>
  <c r="S320" i="3" s="1"/>
  <c r="T320" i="3" s="1"/>
  <c r="S112" i="3"/>
  <c r="T112" i="3" s="1"/>
  <c r="R488" i="3"/>
  <c r="S488" i="3" s="1"/>
  <c r="T488" i="3" s="1"/>
  <c r="R128" i="3"/>
  <c r="S128" i="3" s="1"/>
  <c r="T128" i="3" s="1"/>
  <c r="R348" i="3"/>
  <c r="S348" i="3" s="1"/>
  <c r="T348" i="3" s="1"/>
  <c r="R322" i="3"/>
  <c r="S322" i="3" s="1"/>
  <c r="T322" i="3" s="1"/>
  <c r="R93" i="3"/>
  <c r="S93" i="3" s="1"/>
  <c r="T93" i="3" s="1"/>
  <c r="R509" i="3"/>
  <c r="S509" i="3" s="1"/>
  <c r="T509" i="3" s="1"/>
  <c r="R61" i="3"/>
  <c r="S61" i="3" s="1"/>
  <c r="T61" i="3" s="1"/>
  <c r="I175" i="1" l="1"/>
  <c r="I8" i="1"/>
  <c r="J8" i="1" s="1"/>
  <c r="L165" i="1"/>
  <c r="F15" i="6" s="1"/>
  <c r="Q537" i="3"/>
  <c r="P537" i="3"/>
  <c r="O537" i="3"/>
  <c r="R87" i="3"/>
  <c r="S87" i="3" s="1"/>
  <c r="T87" i="3" s="1"/>
  <c r="R78" i="3"/>
  <c r="S78" i="3" s="1"/>
  <c r="T78" i="3" s="1"/>
  <c r="R417" i="3"/>
  <c r="S417" i="3" s="1"/>
  <c r="T417" i="3" s="1"/>
  <c r="O4" i="1"/>
  <c r="O3" i="1"/>
  <c r="T2" i="3"/>
  <c r="E15" i="6"/>
  <c r="K167" i="1"/>
  <c r="I9" i="1" s="1"/>
  <c r="J9" i="1" s="1"/>
  <c r="K179" i="1"/>
  <c r="I10" i="1" s="1"/>
  <c r="J10" i="1" s="1"/>
  <c r="R17" i="3"/>
  <c r="S17" i="3" s="1"/>
  <c r="T17" i="3" s="1"/>
  <c r="R257" i="3"/>
  <c r="S257" i="3" s="1"/>
  <c r="T257" i="3" s="1"/>
  <c r="R537" i="3" l="1"/>
  <c r="L179" i="1"/>
  <c r="F20" i="6" s="1"/>
  <c r="E20" i="6"/>
  <c r="E16" i="6"/>
  <c r="L167" i="1"/>
  <c r="F16" i="6" s="1"/>
  <c r="K168" i="1"/>
  <c r="K177" i="1" s="1"/>
  <c r="S535" i="3"/>
  <c r="T535" i="3" s="1"/>
  <c r="S537" i="3" l="1"/>
  <c r="E17" i="6"/>
  <c r="L168" i="1"/>
  <c r="F17" i="6" s="1"/>
  <c r="L177" i="1" l="1"/>
  <c r="F19" i="6" s="1"/>
  <c r="E19" i="6"/>
  <c r="K180" i="1"/>
  <c r="I11" i="1" s="1"/>
  <c r="S538" i="3"/>
  <c r="I17" i="1" l="1"/>
  <c r="J11" i="1"/>
  <c r="I15" i="1"/>
  <c r="K182" i="1"/>
  <c r="L180" i="1"/>
  <c r="E21" i="6"/>
  <c r="M7" i="1" l="1"/>
  <c r="M13" i="1" s="1"/>
  <c r="N7" i="1" s="1"/>
  <c r="J15" i="1"/>
  <c r="I18" i="1"/>
  <c r="E30" i="6"/>
  <c r="K200" i="1"/>
  <c r="E22" i="6"/>
  <c r="L182" i="1"/>
  <c r="F22" i="6" s="1"/>
  <c r="K183" i="1"/>
  <c r="F21" i="6"/>
  <c r="L199" i="1"/>
  <c r="F30" i="6" s="1"/>
  <c r="N11" i="1" l="1"/>
  <c r="N10" i="1"/>
  <c r="N9" i="1"/>
  <c r="N12" i="1"/>
  <c r="N8" i="1"/>
  <c r="E31" i="6"/>
  <c r="I14" i="1"/>
  <c r="J14" i="1" s="1"/>
  <c r="L183" i="1"/>
  <c r="F23" i="6" s="1"/>
  <c r="E23" i="6"/>
  <c r="I12" i="1"/>
  <c r="J12" i="1" s="1"/>
  <c r="L200" i="1"/>
  <c r="F31" i="6" s="1"/>
  <c r="I16" i="1" l="1"/>
  <c r="J16" i="1" s="1"/>
  <c r="N13" i="1"/>
</calcChain>
</file>

<file path=xl/sharedStrings.xml><?xml version="1.0" encoding="utf-8"?>
<sst xmlns="http://schemas.openxmlformats.org/spreadsheetml/2006/main" count="2853" uniqueCount="516">
  <si>
    <t>חברת ההפקה</t>
  </si>
  <si>
    <t>פרטים כלליים</t>
  </si>
  <si>
    <t>מספר תכניות/פרקים</t>
  </si>
  <si>
    <t>יחידת מידה</t>
  </si>
  <si>
    <t>כמות יחידות</t>
  </si>
  <si>
    <t>.</t>
  </si>
  <si>
    <t>תקופות הפקה</t>
  </si>
  <si>
    <t>יחידות כמות תסריט</t>
  </si>
  <si>
    <t>יחידות כמות
ביטוח ומימון
שונות תקורות</t>
  </si>
  <si>
    <t>יחידות כמות עורכים
יחידות כמות שונות מערכת
יחידות כמות מפיקים
מנהלה</t>
  </si>
  <si>
    <t>שעות נוספות צוות הפקה</t>
  </si>
  <si>
    <t>יחידות כמות ע.הפקה
שונות צוות הפקה
אולפן, דלק, מוניות
עורך אוף ליין, חדר אופ ליין</t>
  </si>
  <si>
    <t>יחידות כמות הלבשה
איפור, שיער, פרופס
צילום חוץ, קהל, שונות אולפן
קייטרינג, הסעות קהל
ציוד אולפן, עורך וחדר און ליין, דיגיטציה</t>
  </si>
  <si>
    <t>שונות מערכת</t>
  </si>
  <si>
    <t>פרופס, תחקיר וארכיון
העברות ושיכפולים,
שונות עריכה, תמלול ותרגום</t>
  </si>
  <si>
    <t>במאי ראשי, עורך ראשי, עורך בפועל, עורך משנה, ריכוז, מלהק, תחקירן ליהוק</t>
  </si>
  <si>
    <t>תסריטאי</t>
  </si>
  <si>
    <t>עורך תוכן</t>
  </si>
  <si>
    <t>במאי שטח
עוזר הפקה</t>
  </si>
  <si>
    <t>שונות צוות הפקה</t>
  </si>
  <si>
    <t>שונות ציוד צילום</t>
  </si>
  <si>
    <t>ימים</t>
  </si>
  <si>
    <t>פר תסריט</t>
  </si>
  <si>
    <t>עונתי גלובלי</t>
  </si>
  <si>
    <t>חודשים</t>
  </si>
  <si>
    <t>תכניות/פרקים</t>
  </si>
  <si>
    <t>שבועות</t>
  </si>
  <si>
    <t>מינימום</t>
  </si>
  <si>
    <t>מקסימום</t>
  </si>
  <si>
    <t>בלת"צ</t>
  </si>
  <si>
    <t>רווח</t>
  </si>
  <si>
    <t>מע"מ</t>
  </si>
  <si>
    <t>רף שונות שדורש בדיקה</t>
  </si>
  <si>
    <t>אחוז ממחיר מקסימום שמעברו יידרש פירוט</t>
  </si>
  <si>
    <t>הודעת הסבר כללי</t>
  </si>
  <si>
    <t xml:space="preserve">מחיר היחידה שהוזן גבוה ממחירי התאגיד. נא לפרט </t>
  </si>
  <si>
    <t>הודעת הסבר שונות</t>
  </si>
  <si>
    <t>יש לפרט במדויק את ההוצאות</t>
  </si>
  <si>
    <t>הודעת OK</t>
  </si>
  <si>
    <t/>
  </si>
  <si>
    <t>הודעת חסר נתונים</t>
  </si>
  <si>
    <t>נא להזין את הנתונים החסרים</t>
  </si>
  <si>
    <t>הודעת הארדיסקים</t>
  </si>
  <si>
    <t>יש לפרט את הכמות והנפח של ההארדיסקים</t>
  </si>
  <si>
    <t>הודעת מוכן לשליחה</t>
  </si>
  <si>
    <t>כן</t>
  </si>
  <si>
    <t>הודעת לא מוכן לשליחה</t>
  </si>
  <si>
    <t>לא</t>
  </si>
  <si>
    <t>הודעת בדיקת סעיפים</t>
  </si>
  <si>
    <t>קיים מידע חסר בסעיפי ההוצאות</t>
  </si>
  <si>
    <t>הודעת בדיקת פרטים כלליים</t>
  </si>
  <si>
    <t>קיים מידע חסר בטבלת פרטים כלליים</t>
  </si>
  <si>
    <t>הודעת כללית</t>
  </si>
  <si>
    <t>קיימים פרטים חסרים בטבלת הפרטים הכלליים וסעיפי ההוצאות</t>
  </si>
  <si>
    <t>הודעת אישור</t>
  </si>
  <si>
    <t>מאושר לשליחה</t>
  </si>
  <si>
    <t>אורך פרק</t>
  </si>
  <si>
    <t>ליהוק ופרה פרודקשן</t>
  </si>
  <si>
    <t>ויזואלס/השלמות</t>
  </si>
  <si>
    <t>דקות</t>
  </si>
  <si>
    <t>סעיף תקציבי</t>
  </si>
  <si>
    <t>תיאור סעיף תקציבי</t>
  </si>
  <si>
    <t>כמות אנשי צוות</t>
  </si>
  <si>
    <t>מחיר ליחידה</t>
  </si>
  <si>
    <t>סה"כ עלות פרק ₪</t>
  </si>
  <si>
    <t>הערות</t>
  </si>
  <si>
    <t>הוראות</t>
  </si>
  <si>
    <t>נוסחת עזר</t>
  </si>
  <si>
    <t>סעיף מאושר לשליחה?</t>
  </si>
  <si>
    <t>במאי ראשי</t>
  </si>
  <si>
    <t>עורך ראשי</t>
  </si>
  <si>
    <t>עורך בפועל</t>
  </si>
  <si>
    <t>עורך משנה</t>
  </si>
  <si>
    <t>ריכוז</t>
  </si>
  <si>
    <t>מלהק</t>
  </si>
  <si>
    <t>תחקירן ליהוק</t>
  </si>
  <si>
    <t>במאי שטח</t>
  </si>
  <si>
    <t>מפיק ראשי</t>
  </si>
  <si>
    <t>-</t>
  </si>
  <si>
    <t>מערכת - צוות הפקה ותוכן ראשי</t>
  </si>
  <si>
    <t>מפיק בפועל</t>
  </si>
  <si>
    <t>מנהל הפקה</t>
  </si>
  <si>
    <t>מתאם הפקה</t>
  </si>
  <si>
    <t>עוזר הפקה</t>
  </si>
  <si>
    <t>מאפרת</t>
  </si>
  <si>
    <t>ע. מאפרת</t>
  </si>
  <si>
    <t>מעצב שיער</t>
  </si>
  <si>
    <t>ארט דיירקטור</t>
  </si>
  <si>
    <t>צלם ראשי</t>
  </si>
  <si>
    <t>צלם</t>
  </si>
  <si>
    <t>ע.צלם</t>
  </si>
  <si>
    <t>מקליט ראשי</t>
  </si>
  <si>
    <t>מקליט</t>
  </si>
  <si>
    <t>תאורן</t>
  </si>
  <si>
    <t>שעות נוספות צוות צילום</t>
  </si>
  <si>
    <t>שונות צוות צילום</t>
  </si>
  <si>
    <t>סה"כ מערכת</t>
  </si>
  <si>
    <t>צוות הפקה וצילום</t>
  </si>
  <si>
    <t>סה"כ צוות הפקה וצילום</t>
  </si>
  <si>
    <t>ציוד מצלמה</t>
  </si>
  <si>
    <t>ציוד מצלמה מיוחד</t>
  </si>
  <si>
    <t>מצלמות קטנות</t>
  </si>
  <si>
    <t>ציוד תאורה וגריפ</t>
  </si>
  <si>
    <t>צילומי רחפן וצילומים מיוחדים</t>
  </si>
  <si>
    <t>מתכלים</t>
  </si>
  <si>
    <t>ארט/פרופס/דרסינג</t>
  </si>
  <si>
    <t>השכרת רכבי הפקה</t>
  </si>
  <si>
    <t>אש"ל סיורים ופרה פרודקשן</t>
  </si>
  <si>
    <t>אש"ל צילומים</t>
  </si>
  <si>
    <t>ציוד משרדי</t>
  </si>
  <si>
    <t>שליחויות</t>
  </si>
  <si>
    <t>דלק</t>
  </si>
  <si>
    <t>חניות</t>
  </si>
  <si>
    <t>מוניות</t>
  </si>
  <si>
    <t>לוקיישנים</t>
  </si>
  <si>
    <t>מעצב תפאורה</t>
  </si>
  <si>
    <t>תפאורה</t>
  </si>
  <si>
    <t>שונות</t>
  </si>
  <si>
    <t>סה"כ שונות</t>
  </si>
  <si>
    <t>מפיק פוסט</t>
  </si>
  <si>
    <t>במאי עריכות</t>
  </si>
  <si>
    <t>עורך אוף ליין</t>
  </si>
  <si>
    <t>חדר אוף ליין</t>
  </si>
  <si>
    <t>עוזר עריכה</t>
  </si>
  <si>
    <t>עורך און ליין</t>
  </si>
  <si>
    <t>חדר און ליין</t>
  </si>
  <si>
    <t>דיגיטציות + דיגיטטור</t>
  </si>
  <si>
    <t>אולפן סאונד + עורך</t>
  </si>
  <si>
    <t>מוסיקה מקורית</t>
  </si>
  <si>
    <t>ייעוץ מוסיקלי</t>
  </si>
  <si>
    <t>פתיח ואריזה גרפית</t>
  </si>
  <si>
    <t>תמלול</t>
  </si>
  <si>
    <t>תרגום</t>
  </si>
  <si>
    <t>הארדיסקים</t>
  </si>
  <si>
    <t>העברות ושיכפולים</t>
  </si>
  <si>
    <t>בלת"צ פוסט</t>
  </si>
  <si>
    <t>סה"כ עריכה</t>
  </si>
  <si>
    <t>עריכה</t>
  </si>
  <si>
    <t>סה"כ עלות ישירה</t>
  </si>
  <si>
    <t>סה"כ עלות כולל בלת"צ</t>
  </si>
  <si>
    <t>כספים</t>
  </si>
  <si>
    <t>משרדיות</t>
  </si>
  <si>
    <t>משפטיות</t>
  </si>
  <si>
    <t>ביטוח</t>
  </si>
  <si>
    <t>מימון</t>
  </si>
  <si>
    <t>סה"כ עלות לפני רווח</t>
  </si>
  <si>
    <t>תקורה</t>
  </si>
  <si>
    <t>סה"כ עלות כולל רווח לפני מע"מ</t>
  </si>
  <si>
    <t>סה"כ עלות הפקה כולל מע"מ</t>
  </si>
  <si>
    <t>סיכום</t>
  </si>
  <si>
    <t>סה"כ ₪</t>
  </si>
  <si>
    <t>עלות ישירה</t>
  </si>
  <si>
    <t>תא עזר</t>
  </si>
  <si>
    <t>מק"ט</t>
  </si>
  <si>
    <t>מס' סידורי</t>
  </si>
  <si>
    <t>קבוצה</t>
  </si>
  <si>
    <t>מחיר מינימום</t>
  </si>
  <si>
    <t>מחיר מקסימום</t>
  </si>
  <si>
    <t>מחיר דורש הסבר</t>
  </si>
  <si>
    <t>כמות יחידות לחישוב עלות מק"ט</t>
  </si>
  <si>
    <t>סה"כ עלות</t>
  </si>
  <si>
    <t>09</t>
  </si>
  <si>
    <t>מערכת</t>
  </si>
  <si>
    <t>02</t>
  </si>
  <si>
    <t>03</t>
  </si>
  <si>
    <t>04</t>
  </si>
  <si>
    <t>08</t>
  </si>
  <si>
    <t>01</t>
  </si>
  <si>
    <t>צוות הפקה</t>
  </si>
  <si>
    <t>05</t>
  </si>
  <si>
    <t>06</t>
  </si>
  <si>
    <t>צוות צילום</t>
  </si>
  <si>
    <t>07</t>
  </si>
  <si>
    <t>אולפן, ציוד טכני וחו"ג</t>
  </si>
  <si>
    <t>00</t>
  </si>
  <si>
    <t>חודשים, גלובלי</t>
  </si>
  <si>
    <t>ימים, חודשים, גלובלי</t>
  </si>
  <si>
    <t>ימים, חודשים</t>
  </si>
  <si>
    <t>גלובלי</t>
  </si>
  <si>
    <t>פרק, גלובלי</t>
  </si>
  <si>
    <t>פרק</t>
  </si>
  <si>
    <t>שונות פוסט</t>
  </si>
  <si>
    <t>תקורות</t>
  </si>
  <si>
    <t>עד 2 אחוז</t>
  </si>
  <si>
    <t>שונות תקורות</t>
  </si>
  <si>
    <t xml:space="preserve">סה"כ </t>
  </si>
  <si>
    <t>בקרה</t>
  </si>
  <si>
    <t>בדיקת סעיפים</t>
  </si>
  <si>
    <t>בדיקת מידע כללי</t>
  </si>
  <si>
    <t>?האם מאושר לשליחה</t>
  </si>
  <si>
    <t>סוגה</t>
  </si>
  <si>
    <t>קידומת</t>
  </si>
  <si>
    <t>מאפיין יחידת מידה</t>
  </si>
  <si>
    <t>קידומת2</t>
  </si>
  <si>
    <t>קבוצת הוצאות</t>
  </si>
  <si>
    <t>קידומת3</t>
  </si>
  <si>
    <t>הוצאה</t>
  </si>
  <si>
    <t>קידומת4</t>
  </si>
  <si>
    <t>רכישת פורמט</t>
  </si>
  <si>
    <t>דוקו</t>
  </si>
  <si>
    <t>אומנים</t>
  </si>
  <si>
    <t>דרמה</t>
  </si>
  <si>
    <t>דוקו ריאליטי</t>
  </si>
  <si>
    <t>תחקירנים</t>
  </si>
  <si>
    <t>במאי אולפן</t>
  </si>
  <si>
    <t>ע.במאי</t>
  </si>
  <si>
    <t>מנחה</t>
  </si>
  <si>
    <t>אומנים אורחים</t>
  </si>
  <si>
    <t>נגנים</t>
  </si>
  <si>
    <t>קהל</t>
  </si>
  <si>
    <t>שונות אומנים</t>
  </si>
  <si>
    <t>מפיק תכנית</t>
  </si>
  <si>
    <t>מלבישה</t>
  </si>
  <si>
    <t>במאי צילומי חוץ</t>
  </si>
  <si>
    <t>פרופסמן</t>
  </si>
  <si>
    <t>אולפן</t>
  </si>
  <si>
    <t>הגברה ותאורה</t>
  </si>
  <si>
    <t>השכרת ציוד אולפן</t>
  </si>
  <si>
    <t>קהל בתשלום</t>
  </si>
  <si>
    <t>שעות נוספות אולפן</t>
  </si>
  <si>
    <t>שונות אולפן</t>
  </si>
  <si>
    <t>ציוד מצלמות</t>
  </si>
  <si>
    <t>ציוד מצלמות קטנות</t>
  </si>
  <si>
    <t>הלבשה</t>
  </si>
  <si>
    <t>הוצאות תחקיר וארכיון</t>
  </si>
  <si>
    <t>קייטרינג</t>
  </si>
  <si>
    <t>אשל כלכלה לצוות חוץ</t>
  </si>
  <si>
    <t>מנהלה - תכניות אולפן</t>
  </si>
  <si>
    <t>הסעות קהל</t>
  </si>
  <si>
    <t>ע.עריכה</t>
  </si>
  <si>
    <t>מחיר ליחידה ₪</t>
  </si>
  <si>
    <t>כמות
 יחידות מידה</t>
  </si>
  <si>
    <t>כמות
 אנשי צוות</t>
  </si>
  <si>
    <t xml:space="preserve">סה"כ ₪ </t>
  </si>
  <si>
    <t>ע. מלבישה</t>
  </si>
  <si>
    <t>חו"ל</t>
  </si>
  <si>
    <t>טיסות</t>
  </si>
  <si>
    <t>לינה</t>
  </si>
  <si>
    <t>תחבורה</t>
  </si>
  <si>
    <t>אישורי צילומים</t>
  </si>
  <si>
    <t>שונות חו"ל</t>
  </si>
  <si>
    <t>סה"כ חו"ל</t>
  </si>
  <si>
    <t>הסבר/מציגים לפי מספר טיסות</t>
  </si>
  <si>
    <t>הסבר</t>
  </si>
  <si>
    <t>אש"ל חו"ל</t>
  </si>
  <si>
    <t>שחקנים</t>
  </si>
  <si>
    <t>שחקן 1</t>
  </si>
  <si>
    <t>שחקן 2</t>
  </si>
  <si>
    <t>שחקן 3</t>
  </si>
  <si>
    <t>שחקן 4</t>
  </si>
  <si>
    <t>שחקן 5</t>
  </si>
  <si>
    <t>שחקן 6</t>
  </si>
  <si>
    <t>שחקן 7</t>
  </si>
  <si>
    <t>שחקן 8</t>
  </si>
  <si>
    <t>ניצבים</t>
  </si>
  <si>
    <t>ביטים</t>
  </si>
  <si>
    <t>שעות נוספות שחקנים</t>
  </si>
  <si>
    <t>שונות שחקנים</t>
  </si>
  <si>
    <t>שחקנים ראשיים</t>
  </si>
  <si>
    <t>סה"כ שחקנים</t>
  </si>
  <si>
    <t>טיסות חו"ל</t>
  </si>
  <si>
    <t>תחקרין</t>
  </si>
  <si>
    <t>תחקירן ארכיון</t>
  </si>
  <si>
    <t>ארט</t>
  </si>
  <si>
    <t>שונות מחלקה אמנותית</t>
  </si>
  <si>
    <t>סה"כ מחלקה אמנותית</t>
  </si>
  <si>
    <t>מנחה 1</t>
  </si>
  <si>
    <t>מנחה 2</t>
  </si>
  <si>
    <t>קופה קטנה הפקה</t>
  </si>
  <si>
    <t>קופה קטנה צילומים</t>
  </si>
  <si>
    <t>לוגינג</t>
  </si>
  <si>
    <t>עיצוב גרפי</t>
  </si>
  <si>
    <t>גיבוי ואחסון חומרים</t>
  </si>
  <si>
    <t>סה"כ אולפן, ציוד טכני וחו"ג</t>
  </si>
  <si>
    <t>0100</t>
  </si>
  <si>
    <t>0101</t>
  </si>
  <si>
    <t>0102</t>
  </si>
  <si>
    <t>0103</t>
  </si>
  <si>
    <t>דיגיטל</t>
  </si>
  <si>
    <t>0104</t>
  </si>
  <si>
    <t>ספורט</t>
  </si>
  <si>
    <t>0105</t>
  </si>
  <si>
    <t>פודקאסט</t>
  </si>
  <si>
    <t>0106</t>
  </si>
  <si>
    <t>0107</t>
  </si>
  <si>
    <t>0108</t>
  </si>
  <si>
    <t>ניידת שידור - ספורט</t>
  </si>
  <si>
    <t>0109</t>
  </si>
  <si>
    <t>0110</t>
  </si>
  <si>
    <t>0111</t>
  </si>
  <si>
    <t>0112</t>
  </si>
  <si>
    <t>0113</t>
  </si>
  <si>
    <t>0114</t>
  </si>
  <si>
    <t>0115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</si>
  <si>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</si>
  <si>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</si>
  <si>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</si>
  <si>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</si>
  <si>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</si>
  <si>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</si>
  <si>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</si>
  <si>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</si>
  <si>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</si>
  <si>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</si>
  <si>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</si>
  <si>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מגיש א'</t>
  </si>
  <si>
    <t>0211</t>
  </si>
  <si>
    <t>מגיש ב'</t>
  </si>
  <si>
    <t>0212</t>
  </si>
  <si>
    <t>מגיש ג'</t>
  </si>
  <si>
    <t>0213</t>
  </si>
  <si>
    <t>אורחים בתשלום</t>
  </si>
  <si>
    <t>0214</t>
  </si>
  <si>
    <t>שונות הגשה</t>
  </si>
  <si>
    <t>0215</t>
  </si>
  <si>
    <t>0300</t>
  </si>
  <si>
    <t>0301</t>
  </si>
  <si>
    <t>0302</t>
  </si>
  <si>
    <t>0303</t>
  </si>
  <si>
    <t>0304</t>
  </si>
  <si>
    <t>0305</t>
  </si>
  <si>
    <t>0306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</si>
  <si>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</si>
  <si>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</si>
  <si>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</si>
  <si>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</si>
  <si>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</si>
  <si>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</si>
  <si>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</si>
  <si>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</si>
  <si>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</si>
  <si>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</si>
  <si>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</si>
  <si>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</si>
  <si>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</si>
  <si>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</si>
  <si>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</si>
  <si>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</si>
  <si>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טכנאי סאונד</t>
  </si>
  <si>
    <t>0416</t>
  </si>
  <si>
    <t>0500</t>
  </si>
  <si>
    <t>0501</t>
  </si>
  <si>
    <t>0502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</si>
  <si>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</si>
  <si>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</si>
  <si>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</si>
  <si>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</si>
  <si>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</si>
  <si>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</si>
  <si>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</si>
  <si>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</si>
  <si>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</si>
  <si>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צילום דיגיטלי</t>
  </si>
  <si>
    <t>0513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</si>
  <si>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</si>
  <si>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</si>
  <si>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</si>
  <si>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</si>
  <si>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</si>
  <si>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</si>
  <si>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</si>
  <si>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</si>
  <si>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</si>
  <si>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</si>
  <si>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</si>
  <si>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</si>
  <si>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</si>
  <si>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</si>
  <si>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</si>
  <si>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</si>
  <si>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</si>
  <si>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</si>
  <si>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</si>
  <si>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</si>
  <si>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חו"ל - טיסות</t>
  </si>
  <si>
    <t>0622</t>
  </si>
  <si>
    <t>חו"ל - לינה</t>
  </si>
  <si>
    <t>0623</t>
  </si>
  <si>
    <t>חו"ל - אש"ל</t>
  </si>
  <si>
    <t>0624</t>
  </si>
  <si>
    <t>חו"ל - תחבורה</t>
  </si>
  <si>
    <t>0625</t>
  </si>
  <si>
    <t>חו"ל - אישורי צילומים</t>
  </si>
  <si>
    <t>0626</t>
  </si>
  <si>
    <t>0627</t>
  </si>
  <si>
    <t>פלטפורמה דיגיטלית - אפיון</t>
  </si>
  <si>
    <t>0628</t>
  </si>
  <si>
    <t>פלטפורמה דיגיטלית - עיצוב</t>
  </si>
  <si>
    <t>0629</t>
  </si>
  <si>
    <t>פלטפורמה דיגיטלית - פיתוח</t>
  </si>
  <si>
    <t>0630</t>
  </si>
  <si>
    <t>פלטפורמה דיגיטלית - שונות</t>
  </si>
  <si>
    <t>0631</t>
  </si>
  <si>
    <t>0700</t>
  </si>
  <si>
    <t>0701</t>
  </si>
  <si>
    <t>0702</t>
  </si>
  <si>
    <t>0703</t>
  </si>
  <si>
    <t>0704</t>
  </si>
  <si>
    <t>0705</t>
  </si>
  <si>
    <t>0706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</si>
  <si>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</si>
  <si>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</si>
  <si>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</si>
  <si>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</si>
  <si>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</si>
  <si>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</si>
  <si>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</si>
  <si>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</si>
  <si>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</si>
  <si>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</si>
  <si>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אנימציה + אנימטור</t>
  </si>
  <si>
    <t>0719</t>
  </si>
  <si>
    <t>עורך סאונד</t>
  </si>
  <si>
    <t>0720</t>
  </si>
  <si>
    <t>שונות עריכה</t>
  </si>
  <si>
    <t>0721</t>
  </si>
  <si>
    <t>0800</t>
  </si>
  <si>
    <t>0801</t>
  </si>
  <si>
    <t>0802</t>
  </si>
  <si>
    <t>0803</t>
  </si>
  <si>
    <t>0804</t>
  </si>
  <si>
    <t>0805</t>
  </si>
  <si>
    <t>זכויות יוצרים</t>
  </si>
  <si>
    <t>0806</t>
  </si>
  <si>
    <t>0900</t>
  </si>
  <si>
    <t>ניידת 12 מצלמות HD DOLBY 5.1 ע"פ מפרט טכני של UEFA</t>
  </si>
  <si>
    <t>1000</t>
  </si>
  <si>
    <t>ניידת שידור HD</t>
  </si>
  <si>
    <t>גנרטור גיבוי</t>
  </si>
  <si>
    <t>סיב אופטי להעברת שידור</t>
  </si>
  <si>
    <t>סיוב/לווינית גיבוי להעברת שידור</t>
  </si>
  <si>
    <t>השכרת עמדה חלקית במגרש (ע"פ RATE CARD UEFA)</t>
  </si>
  <si>
    <t>עמדת שידור ISDN כולל ציוד סאונד</t>
  </si>
  <si>
    <t>חדר OFF TUBE</t>
  </si>
  <si>
    <t>קליטת השידור</t>
  </si>
  <si>
    <t>ניידת שידור לשידור UNI מחו"ל</t>
  </si>
  <si>
    <t>מפיק ניידת</t>
  </si>
  <si>
    <t>מפקח טכני</t>
  </si>
  <si>
    <t>טכנאי שידור</t>
  </si>
  <si>
    <t>מפקח קול</t>
  </si>
  <si>
    <t>ע.קול</t>
  </si>
  <si>
    <t>ע.צלם - ניידת</t>
  </si>
  <si>
    <t>מפעיל CCU</t>
  </si>
  <si>
    <t>מפעיל VTR</t>
  </si>
  <si>
    <t>נתב</t>
  </si>
  <si>
    <t>צלמים - ניידת</t>
  </si>
  <si>
    <t>צלם סטדיקאם</t>
  </si>
  <si>
    <t>מפעיל CG</t>
  </si>
  <si>
    <t>נהג</t>
  </si>
  <si>
    <t>במאי - ניידת</t>
  </si>
  <si>
    <t xml:space="preserve">עורך שידור </t>
  </si>
  <si>
    <t xml:space="preserve">מפיק שידור </t>
  </si>
  <si>
    <t>שדר</t>
  </si>
  <si>
    <t>פרשן</t>
  </si>
  <si>
    <t>שדר קווים</t>
  </si>
  <si>
    <t>כח אדם בהתאם למפרט</t>
  </si>
  <si>
    <t>טיסות - ניידת</t>
  </si>
  <si>
    <t>מלון - ניידת</t>
  </si>
  <si>
    <t>נסיעות (משדה התעופה למלון ולמגרש וחזרה)</t>
  </si>
  <si>
    <t>כלכלה - ניידת</t>
  </si>
  <si>
    <t>הוצאות שונות - ניידת</t>
  </si>
  <si>
    <t>קו ISDN להעברת סאונד עמדת השידור לארץ כולל תקשורת</t>
  </si>
  <si>
    <t>10</t>
  </si>
  <si>
    <t>11</t>
  </si>
  <si>
    <t>12</t>
  </si>
  <si>
    <t>0417</t>
  </si>
  <si>
    <t>0632</t>
  </si>
  <si>
    <t>13</t>
  </si>
  <si>
    <t>0722</t>
  </si>
  <si>
    <t>0723</t>
  </si>
  <si>
    <t>סה"כ תקורה</t>
  </si>
  <si>
    <t>0418</t>
  </si>
  <si>
    <t>שונות צוות הפקה וצילום</t>
  </si>
  <si>
    <t>פירוט הוצאות</t>
  </si>
  <si>
    <t>צילומי אולפן</t>
  </si>
  <si>
    <t>צילומי חוץ</t>
  </si>
  <si>
    <t>שם ההפקה</t>
  </si>
  <si>
    <t>סוג ההפקה</t>
  </si>
  <si>
    <t>דוקו דרמה</t>
  </si>
  <si>
    <t>במאי</t>
  </si>
  <si>
    <t>עורך</t>
  </si>
  <si>
    <t>מפיק</t>
  </si>
  <si>
    <t>פרופסמן/דרסר</t>
  </si>
  <si>
    <t>אפטר</t>
  </si>
  <si>
    <t>סה"כ הוצאות חד-פעמיות</t>
  </si>
  <si>
    <t>מקורות מימון</t>
  </si>
  <si>
    <t>%</t>
  </si>
  <si>
    <t>סה"כ ₪ לפני מע"מ</t>
  </si>
  <si>
    <t>תכנית אולפן/מגזין</t>
  </si>
  <si>
    <t>בצ"מ ותקורה</t>
  </si>
  <si>
    <t>הוצאות
 חד-פעמיות</t>
  </si>
  <si>
    <t>סה"כ הוצ' חד-פעמיות כולל מע"מ</t>
  </si>
  <si>
    <t>עלות הפקה</t>
  </si>
  <si>
    <t>הוצאות חד-פעמיות לפני מע"מ</t>
  </si>
  <si>
    <t>הוצאות חד-פעמיות כולל מע"מ</t>
  </si>
  <si>
    <t>סעיפי כוח אדם</t>
  </si>
  <si>
    <t>ארכיון</t>
  </si>
  <si>
    <t>כאן - תאגיד השידור</t>
  </si>
  <si>
    <t>סה"כ עלות לפני מע"מ</t>
  </si>
  <si>
    <t>הוצאות חד-פעמיות</t>
  </si>
  <si>
    <t>שונות הוצאות חד-פעמיות</t>
  </si>
  <si>
    <t>כיבוד קהל</t>
  </si>
  <si>
    <t>דיגיטציות</t>
  </si>
  <si>
    <t>פוסט</t>
  </si>
  <si>
    <t>סך תקופת ההפקה</t>
  </si>
  <si>
    <t>מחלקה אמנותית</t>
  </si>
  <si>
    <t>סה"כ עלות כולל חד-פעמיות, לפני מע"מ</t>
  </si>
  <si>
    <t>סה"כ עלות כולל חד-פעמיות, כולל מע"מ</t>
  </si>
  <si>
    <t>סה"כ עלות לפני חד פעמיות, לפני מע"מ</t>
  </si>
  <si>
    <t>סה"כ עלות לפני חד-פעמיות, כולל מע"מ</t>
  </si>
  <si>
    <t>עלות דקה לפני חד-פעמיות, לפני מע"מ</t>
  </si>
  <si>
    <t>עלות דקה כולל חד-פעמיות, לפני מע"מ</t>
  </si>
  <si>
    <t>מלביש</t>
  </si>
  <si>
    <t>ע.מלביש</t>
  </si>
  <si>
    <t>מאפר</t>
  </si>
  <si>
    <t>ע.מאפר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</si>
</sst>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₪&quot;\ #,##0;&quot;₪&quot;\ \-#,##0"/>
    <numFmt numFmtId="43" formatCode="_ * #,##0.00_ ;_ * \-#,##0.00_ ;_ * &quot;-&quot;??_ ;_ @_ "/>
    <numFmt numFmtId="164" formatCode="#,##0;\-#,##0;\-;@"/>
    <numFmt numFmtId="165" formatCode="_ * #,##0_ ;_ * \-#,##0_ ;_ * &quot;-&quot;??_ ;_ @_ "/>
    <numFmt numFmtId="166" formatCode="_-* #,##0_-;\-* #,##0_-;_-* &quot;-&quot;??_-;_-@_-"/>
    <numFmt numFmtId="167" formatCode="#,##0.00;\-#,##0.00;\-;@"/>
  </numFmts>
  <fonts count="4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4"/>
      <color rgb="FFD1054E"/>
      <name val="Arial"/>
      <family val="2"/>
      <scheme val="minor"/>
    </font>
    <font>
      <b/>
      <sz val="10"/>
      <color rgb="FFD1054E"/>
      <name val="Arial"/>
      <family val="2"/>
      <scheme val="minor"/>
    </font>
    <font>
      <b/>
      <sz val="10"/>
      <name val="Arial"/>
      <family val="2"/>
      <scheme val="minor"/>
    </font>
    <font>
      <b/>
      <sz val="20"/>
      <color rgb="FFD1054E"/>
      <name val="Arial"/>
      <family val="2"/>
      <scheme val="minor"/>
    </font>
    <font>
      <b/>
      <sz val="11"/>
      <color theme="1"/>
      <name val="Arial"/>
      <family val="2"/>
      <charset val="204"/>
      <scheme val="minor"/>
    </font>
    <font>
      <b/>
      <sz val="14"/>
      <color rgb="FFD1054E"/>
      <name val="Arial"/>
      <family val="2"/>
      <charset val="204"/>
      <scheme val="minor"/>
    </font>
    <font>
      <b/>
      <sz val="12"/>
      <name val="Arial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  <charset val="177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D1054E"/>
      <name val="Arial"/>
      <family val="2"/>
      <scheme val="minor"/>
    </font>
    <font>
      <b/>
      <sz val="18"/>
      <color theme="1"/>
      <name val="Arial"/>
      <family val="2"/>
      <charset val="204"/>
      <scheme val="minor"/>
    </font>
    <font>
      <b/>
      <sz val="16"/>
      <color rgb="FFC00000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b/>
      <sz val="16"/>
      <color rgb="FFD1054E"/>
      <name val="Arial"/>
      <family val="2"/>
    </font>
    <font>
      <sz val="14"/>
      <color theme="1"/>
      <name val="Arial"/>
      <family val="2"/>
      <charset val="177"/>
      <scheme val="minor"/>
    </font>
    <font>
      <b/>
      <sz val="14"/>
      <color theme="1"/>
      <name val="Arial"/>
      <family val="2"/>
      <charset val="177"/>
      <scheme val="minor"/>
    </font>
    <font>
      <sz val="12"/>
      <color theme="1"/>
      <name val="Arial"/>
      <family val="2"/>
      <charset val="204"/>
      <scheme val="minor"/>
    </font>
    <font>
      <b/>
      <sz val="12"/>
      <color theme="1"/>
      <name val="Arial"/>
      <family val="2"/>
      <charset val="177"/>
      <scheme val="minor"/>
    </font>
    <font>
      <b/>
      <sz val="15"/>
      <name val="Arial"/>
      <family val="2"/>
    </font>
    <font>
      <b/>
      <sz val="15"/>
      <color rgb="FFD1054E"/>
      <name val="Arial"/>
      <family val="2"/>
    </font>
    <font>
      <b/>
      <sz val="14"/>
      <color rgb="FFD1054E"/>
      <name val="Arial"/>
      <family val="2"/>
      <charset val="177"/>
      <scheme val="minor"/>
    </font>
    <font>
      <sz val="10"/>
      <color theme="1"/>
      <name val="Arial"/>
      <family val="2"/>
    </font>
    <font>
      <b/>
      <sz val="14"/>
      <color rgb="FFD1054E"/>
      <name val="Arial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rgb="FFD1054E"/>
      <name val="Calibri"/>
      <family val="2"/>
    </font>
    <font>
      <sz val="14"/>
      <color theme="1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99">
    <xf numFmtId="0" fontId="0" fillId="0" borderId="0" xfId="0"/>
    <xf numFmtId="0" fontId="2" fillId="0" borderId="1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Protection="1"/>
    <xf numFmtId="0" fontId="0" fillId="0" borderId="1" xfId="0" applyBorder="1" applyProtection="1"/>
    <xf numFmtId="0" fontId="2" fillId="0" borderId="5" xfId="0" applyFont="1" applyBorder="1" applyProtection="1"/>
    <xf numFmtId="0" fontId="2" fillId="0" borderId="1" xfId="0" applyFont="1" applyBorder="1" applyAlignment="1" applyProtection="1">
      <alignment wrapText="1"/>
    </xf>
    <xf numFmtId="0" fontId="2" fillId="0" borderId="6" xfId="0" applyFont="1" applyBorder="1" applyProtection="1"/>
    <xf numFmtId="0" fontId="2" fillId="0" borderId="1" xfId="0" applyFont="1" applyBorder="1" applyProtection="1"/>
    <xf numFmtId="0" fontId="0" fillId="0" borderId="7" xfId="0" applyBorder="1" applyProtection="1"/>
    <xf numFmtId="0" fontId="0" fillId="0" borderId="6" xfId="0" applyBorder="1" applyProtection="1"/>
    <xf numFmtId="0" fontId="0" fillId="0" borderId="5" xfId="0" applyBorder="1" applyProtection="1"/>
    <xf numFmtId="0" fontId="2" fillId="0" borderId="7" xfId="0" applyFont="1" applyBorder="1" applyProtection="1"/>
    <xf numFmtId="0" fontId="2" fillId="0" borderId="0" xfId="0" applyFont="1" applyProtection="1"/>
    <xf numFmtId="10" fontId="0" fillId="0" borderId="0" xfId="1" applyNumberFormat="1" applyFont="1" applyProtection="1"/>
    <xf numFmtId="10" fontId="0" fillId="0" borderId="0" xfId="0" applyNumberFormat="1" applyProtection="1"/>
    <xf numFmtId="0" fontId="0" fillId="0" borderId="0" xfId="0" applyAlignment="1" applyProtection="1">
      <alignment horizontal="right" vertical="center" wrapText="1"/>
    </xf>
    <xf numFmtId="9" fontId="0" fillId="0" borderId="0" xfId="0" applyNumberFormat="1" applyAlignment="1" applyProtection="1">
      <alignment horizontal="right" vertical="center"/>
    </xf>
    <xf numFmtId="0" fontId="2" fillId="0" borderId="0" xfId="0" quotePrefix="1" applyFont="1" applyProtection="1"/>
    <xf numFmtId="0" fontId="0" fillId="2" borderId="10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</xf>
    <xf numFmtId="0" fontId="12" fillId="5" borderId="25" xfId="0" applyFont="1" applyFill="1" applyBorder="1" applyAlignment="1" applyProtection="1">
      <alignment readingOrder="1"/>
    </xf>
    <xf numFmtId="0" fontId="12" fillId="5" borderId="26" xfId="0" applyFont="1" applyFill="1" applyBorder="1" applyAlignment="1" applyProtection="1">
      <alignment readingOrder="1"/>
    </xf>
    <xf numFmtId="0" fontId="12" fillId="5" borderId="27" xfId="0" applyFont="1" applyFill="1" applyBorder="1" applyAlignment="1" applyProtection="1">
      <alignment readingOrder="1"/>
    </xf>
    <xf numFmtId="0" fontId="16" fillId="6" borderId="2" xfId="2" applyFont="1" applyFill="1" applyBorder="1" applyAlignment="1" applyProtection="1">
      <alignment horizontal="center" vertical="center"/>
    </xf>
    <xf numFmtId="0" fontId="16" fillId="6" borderId="3" xfId="2" applyFont="1" applyFill="1" applyBorder="1" applyAlignment="1" applyProtection="1">
      <alignment horizontal="center" vertical="center"/>
    </xf>
    <xf numFmtId="0" fontId="16" fillId="6" borderId="3" xfId="2" applyFont="1" applyFill="1" applyBorder="1" applyAlignment="1" applyProtection="1">
      <alignment horizontal="center"/>
    </xf>
    <xf numFmtId="0" fontId="16" fillId="6" borderId="4" xfId="2" applyFont="1" applyFill="1" applyBorder="1" applyAlignment="1" applyProtection="1">
      <alignment horizontal="center" vertical="center" wrapText="1"/>
    </xf>
    <xf numFmtId="0" fontId="15" fillId="0" borderId="0" xfId="2" applyProtection="1"/>
    <xf numFmtId="0" fontId="13" fillId="7" borderId="2" xfId="2" applyFont="1" applyFill="1" applyBorder="1" applyProtection="1"/>
    <xf numFmtId="0" fontId="13" fillId="7" borderId="3" xfId="2" applyFont="1" applyFill="1" applyBorder="1" applyProtection="1"/>
    <xf numFmtId="0" fontId="13" fillId="7" borderId="4" xfId="2" applyFont="1" applyFill="1" applyBorder="1" applyProtection="1"/>
    <xf numFmtId="0" fontId="17" fillId="0" borderId="5" xfId="2" applyFont="1" applyFill="1" applyBorder="1" applyAlignment="1" applyProtection="1">
      <alignment horizontal="center" vertical="center"/>
    </xf>
    <xf numFmtId="2" fontId="15" fillId="0" borderId="5" xfId="2" applyNumberFormat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/>
    </xf>
    <xf numFmtId="0" fontId="17" fillId="0" borderId="8" xfId="2" applyFont="1" applyFill="1" applyBorder="1" applyAlignment="1" applyProtection="1">
      <alignment vertical="center"/>
    </xf>
    <xf numFmtId="0" fontId="17" fillId="0" borderId="14" xfId="2" applyFont="1" applyFill="1" applyBorder="1" applyAlignment="1" applyProtection="1">
      <alignment vertical="center"/>
    </xf>
    <xf numFmtId="164" fontId="17" fillId="0" borderId="14" xfId="2" applyNumberFormat="1" applyFont="1" applyFill="1" applyBorder="1" applyAlignment="1" applyProtection="1">
      <alignment vertical="center"/>
    </xf>
    <xf numFmtId="165" fontId="0" fillId="0" borderId="10" xfId="3" applyNumberFormat="1" applyFont="1" applyBorder="1" applyProtection="1"/>
    <xf numFmtId="165" fontId="0" fillId="0" borderId="0" xfId="3" applyNumberFormat="1" applyFont="1" applyBorder="1" applyProtection="1"/>
    <xf numFmtId="165" fontId="0" fillId="0" borderId="11" xfId="3" applyNumberFormat="1" applyFont="1" applyBorder="1" applyProtection="1"/>
    <xf numFmtId="0" fontId="17" fillId="0" borderId="6" xfId="2" applyFont="1" applyFill="1" applyBorder="1" applyAlignment="1" applyProtection="1">
      <alignment horizontal="center" vertical="center"/>
    </xf>
    <xf numFmtId="2" fontId="15" fillId="0" borderId="6" xfId="2" applyNumberFormat="1" applyFont="1" applyFill="1" applyBorder="1" applyAlignment="1" applyProtection="1">
      <alignment horizontal="center" vertical="center"/>
    </xf>
    <xf numFmtId="0" fontId="16" fillId="0" borderId="11" xfId="2" applyFont="1" applyFill="1" applyBorder="1" applyAlignment="1" applyProtection="1">
      <alignment horizontal="center" vertical="center"/>
    </xf>
    <xf numFmtId="0" fontId="17" fillId="0" borderId="10" xfId="2" applyFont="1" applyFill="1" applyBorder="1" applyAlignment="1" applyProtection="1">
      <alignment vertical="center"/>
    </xf>
    <xf numFmtId="0" fontId="17" fillId="0" borderId="0" xfId="2" applyFont="1" applyFill="1" applyBorder="1" applyAlignment="1" applyProtection="1">
      <alignment vertical="center"/>
    </xf>
    <xf numFmtId="164" fontId="17" fillId="0" borderId="0" xfId="2" applyNumberFormat="1" applyFont="1" applyFill="1" applyBorder="1" applyAlignment="1" applyProtection="1">
      <alignment vertical="center"/>
    </xf>
    <xf numFmtId="0" fontId="17" fillId="0" borderId="11" xfId="2" applyFont="1" applyFill="1" applyBorder="1" applyAlignment="1" applyProtection="1">
      <alignment horizontal="right" vertical="center" wrapText="1"/>
    </xf>
    <xf numFmtId="1" fontId="15" fillId="8" borderId="6" xfId="2" applyNumberFormat="1" applyFont="1" applyFill="1" applyBorder="1" applyAlignment="1" applyProtection="1">
      <alignment horizontal="center" vertical="center"/>
    </xf>
    <xf numFmtId="0" fontId="16" fillId="8" borderId="11" xfId="2" applyFont="1" applyFill="1" applyBorder="1" applyAlignment="1" applyProtection="1">
      <alignment horizontal="center" vertical="center"/>
    </xf>
    <xf numFmtId="0" fontId="18" fillId="8" borderId="0" xfId="2" applyFont="1" applyFill="1" applyBorder="1" applyAlignment="1" applyProtection="1">
      <alignment horizontal="right" readingOrder="2"/>
    </xf>
    <xf numFmtId="0" fontId="17" fillId="8" borderId="0" xfId="2" applyFont="1" applyFill="1" applyBorder="1" applyAlignment="1" applyProtection="1">
      <alignment vertical="center"/>
    </xf>
    <xf numFmtId="164" fontId="17" fillId="8" borderId="0" xfId="2" applyNumberFormat="1" applyFont="1" applyFill="1" applyBorder="1" applyAlignment="1" applyProtection="1">
      <alignment vertical="center"/>
    </xf>
    <xf numFmtId="0" fontId="17" fillId="8" borderId="11" xfId="2" applyFont="1" applyFill="1" applyBorder="1" applyAlignment="1" applyProtection="1">
      <alignment horizontal="right" vertical="center" wrapText="1"/>
    </xf>
    <xf numFmtId="2" fontId="15" fillId="0" borderId="6" xfId="2" quotePrefix="1" applyNumberFormat="1" applyFont="1" applyFill="1" applyBorder="1" applyAlignment="1" applyProtection="1">
      <alignment horizontal="center" vertical="center"/>
    </xf>
    <xf numFmtId="0" fontId="18" fillId="0" borderId="0" xfId="2" applyFont="1" applyFill="1" applyBorder="1" applyAlignment="1" applyProtection="1">
      <alignment horizontal="right" readingOrder="2"/>
    </xf>
    <xf numFmtId="2" fontId="15" fillId="8" borderId="6" xfId="2" quotePrefix="1" applyNumberFormat="1" applyFont="1" applyFill="1" applyBorder="1" applyAlignment="1" applyProtection="1">
      <alignment horizontal="center" vertical="center"/>
    </xf>
    <xf numFmtId="0" fontId="15" fillId="0" borderId="0" xfId="2" applyFont="1" applyProtection="1"/>
    <xf numFmtId="1" fontId="15" fillId="0" borderId="6" xfId="2" applyNumberFormat="1" applyFont="1" applyFill="1" applyBorder="1" applyAlignment="1" applyProtection="1">
      <alignment horizontal="center" vertical="center"/>
    </xf>
    <xf numFmtId="0" fontId="18" fillId="8" borderId="0" xfId="2" applyFont="1" applyFill="1" applyBorder="1" applyAlignment="1" applyProtection="1">
      <alignment readingOrder="1"/>
    </xf>
    <xf numFmtId="0" fontId="2" fillId="8" borderId="11" xfId="2" applyFont="1" applyFill="1" applyBorder="1" applyAlignment="1" applyProtection="1">
      <alignment horizontal="right" vertical="center" wrapText="1" readingOrder="2"/>
    </xf>
    <xf numFmtId="0" fontId="15" fillId="0" borderId="0" xfId="2" applyFill="1" applyProtection="1"/>
    <xf numFmtId="0" fontId="18" fillId="0" borderId="0" xfId="2" applyFont="1" applyFill="1" applyBorder="1" applyAlignment="1" applyProtection="1">
      <alignment readingOrder="1"/>
    </xf>
    <xf numFmtId="0" fontId="2" fillId="0" borderId="11" xfId="2" applyFont="1" applyFill="1" applyBorder="1" applyAlignment="1" applyProtection="1">
      <alignment horizontal="right" vertical="center" wrapText="1" readingOrder="2"/>
    </xf>
    <xf numFmtId="3" fontId="17" fillId="8" borderId="0" xfId="2" applyNumberFormat="1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horizontal="center" vertical="center"/>
    </xf>
    <xf numFmtId="0" fontId="18" fillId="0" borderId="8" xfId="2" applyFont="1" applyFill="1" applyBorder="1" applyAlignment="1" applyProtection="1">
      <alignment readingOrder="1"/>
    </xf>
    <xf numFmtId="3" fontId="17" fillId="0" borderId="14" xfId="2" applyNumberFormat="1" applyFont="1" applyFill="1" applyBorder="1" applyAlignment="1" applyProtection="1">
      <alignment vertical="center"/>
    </xf>
    <xf numFmtId="0" fontId="2" fillId="0" borderId="9" xfId="2" applyFont="1" applyFill="1" applyBorder="1" applyAlignment="1" applyProtection="1">
      <alignment horizontal="right" vertical="center" wrapText="1" readingOrder="2"/>
    </xf>
    <xf numFmtId="0" fontId="16" fillId="0" borderId="6" xfId="2" applyFont="1" applyFill="1" applyBorder="1" applyAlignment="1" applyProtection="1">
      <alignment horizontal="center" vertical="center"/>
    </xf>
    <xf numFmtId="0" fontId="18" fillId="0" borderId="10" xfId="2" applyFont="1" applyFill="1" applyBorder="1" applyAlignment="1" applyProtection="1">
      <alignment readingOrder="1"/>
    </xf>
    <xf numFmtId="3" fontId="17" fillId="0" borderId="0" xfId="2" applyNumberFormat="1" applyFont="1" applyFill="1" applyBorder="1" applyAlignment="1" applyProtection="1">
      <alignment vertical="center"/>
    </xf>
    <xf numFmtId="2" fontId="15" fillId="8" borderId="6" xfId="2" applyNumberFormat="1" applyFont="1" applyFill="1" applyBorder="1" applyAlignment="1" applyProtection="1">
      <alignment horizontal="center" vertical="center"/>
    </xf>
    <xf numFmtId="0" fontId="16" fillId="8" borderId="6" xfId="2" applyFont="1" applyFill="1" applyBorder="1" applyAlignment="1" applyProtection="1">
      <alignment horizontal="center" vertical="center"/>
    </xf>
    <xf numFmtId="0" fontId="18" fillId="8" borderId="10" xfId="2" applyFont="1" applyFill="1" applyBorder="1" applyAlignment="1" applyProtection="1">
      <alignment readingOrder="1"/>
    </xf>
    <xf numFmtId="0" fontId="18" fillId="8" borderId="10" xfId="2" applyFont="1" applyFill="1" applyBorder="1" applyAlignment="1" applyProtection="1">
      <alignment vertical="center" readingOrder="1"/>
    </xf>
    <xf numFmtId="0" fontId="18" fillId="0" borderId="10" xfId="2" applyFont="1" applyFill="1" applyBorder="1" applyAlignment="1" applyProtection="1">
      <alignment vertical="center" readingOrder="1"/>
    </xf>
    <xf numFmtId="49" fontId="15" fillId="0" borderId="0" xfId="2" applyNumberFormat="1" applyFont="1" applyAlignment="1" applyProtection="1">
      <alignment horizontal="center"/>
    </xf>
    <xf numFmtId="2" fontId="15" fillId="8" borderId="7" xfId="2" applyNumberFormat="1" applyFont="1" applyFill="1" applyBorder="1" applyAlignment="1" applyProtection="1">
      <alignment horizontal="center" vertical="center"/>
    </xf>
    <xf numFmtId="0" fontId="16" fillId="8" borderId="7" xfId="2" applyFont="1" applyFill="1" applyBorder="1" applyAlignment="1" applyProtection="1">
      <alignment horizontal="center" vertical="center"/>
    </xf>
    <xf numFmtId="0" fontId="18" fillId="8" borderId="12" xfId="2" applyFont="1" applyFill="1" applyBorder="1" applyAlignment="1" applyProtection="1">
      <alignment readingOrder="1"/>
    </xf>
    <xf numFmtId="0" fontId="17" fillId="8" borderId="15" xfId="2" applyFont="1" applyFill="1" applyBorder="1" applyAlignment="1" applyProtection="1">
      <alignment vertical="center"/>
    </xf>
    <xf numFmtId="3" fontId="17" fillId="8" borderId="15" xfId="2" applyNumberFormat="1" applyFont="1" applyFill="1" applyBorder="1" applyAlignment="1" applyProtection="1">
      <alignment vertical="center"/>
    </xf>
    <xf numFmtId="0" fontId="2" fillId="8" borderId="13" xfId="2" applyFont="1" applyFill="1" applyBorder="1" applyAlignment="1" applyProtection="1">
      <alignment horizontal="right" vertical="center" wrapText="1" readingOrder="2"/>
    </xf>
    <xf numFmtId="0" fontId="10" fillId="8" borderId="10" xfId="2" applyFont="1" applyFill="1" applyBorder="1" applyAlignment="1" applyProtection="1">
      <alignment readingOrder="1"/>
    </xf>
    <xf numFmtId="0" fontId="10" fillId="0" borderId="10" xfId="2" applyFont="1" applyFill="1" applyBorder="1" applyAlignment="1" applyProtection="1">
      <alignment readingOrder="1"/>
    </xf>
    <xf numFmtId="0" fontId="18" fillId="0" borderId="10" xfId="2" applyFont="1" applyBorder="1" applyAlignment="1" applyProtection="1">
      <alignment readingOrder="1"/>
    </xf>
    <xf numFmtId="0" fontId="19" fillId="0" borderId="6" xfId="2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readingOrder="1"/>
    </xf>
    <xf numFmtId="0" fontId="19" fillId="8" borderId="6" xfId="2" applyFont="1" applyFill="1" applyBorder="1" applyAlignment="1" applyProtection="1">
      <alignment horizontal="center" vertical="center"/>
    </xf>
    <xf numFmtId="0" fontId="10" fillId="8" borderId="0" xfId="2" applyFont="1" applyFill="1" applyBorder="1" applyAlignment="1" applyProtection="1">
      <alignment readingOrder="1"/>
    </xf>
    <xf numFmtId="1" fontId="15" fillId="0" borderId="6" xfId="2" quotePrefix="1" applyNumberFormat="1" applyFont="1" applyFill="1" applyBorder="1" applyAlignment="1" applyProtection="1">
      <alignment horizontal="center" vertical="center"/>
    </xf>
    <xf numFmtId="1" fontId="15" fillId="8" borderId="6" xfId="2" quotePrefix="1" applyNumberFormat="1" applyFont="1" applyFill="1" applyBorder="1" applyAlignment="1" applyProtection="1">
      <alignment horizontal="center" vertical="center"/>
    </xf>
    <xf numFmtId="2" fontId="15" fillId="8" borderId="5" xfId="2" applyNumberFormat="1" applyFont="1" applyFill="1" applyBorder="1" applyAlignment="1" applyProtection="1">
      <alignment horizontal="center" vertical="center"/>
    </xf>
    <xf numFmtId="0" fontId="19" fillId="8" borderId="5" xfId="2" applyFont="1" applyFill="1" applyBorder="1" applyAlignment="1" applyProtection="1">
      <alignment horizontal="center" vertical="center"/>
    </xf>
    <xf numFmtId="0" fontId="10" fillId="8" borderId="8" xfId="2" applyFont="1" applyFill="1" applyBorder="1" applyAlignment="1" applyProtection="1">
      <alignment readingOrder="1"/>
    </xf>
    <xf numFmtId="0" fontId="17" fillId="8" borderId="14" xfId="2" applyFont="1" applyFill="1" applyBorder="1" applyAlignment="1" applyProtection="1">
      <alignment vertical="center"/>
    </xf>
    <xf numFmtId="3" fontId="17" fillId="8" borderId="14" xfId="2" applyNumberFormat="1" applyFont="1" applyFill="1" applyBorder="1" applyAlignment="1" applyProtection="1">
      <alignment vertical="center"/>
    </xf>
    <xf numFmtId="0" fontId="17" fillId="8" borderId="9" xfId="2" applyFont="1" applyFill="1" applyBorder="1" applyAlignment="1" applyProtection="1">
      <alignment horizontal="right" vertical="center" wrapText="1"/>
    </xf>
    <xf numFmtId="0" fontId="10" fillId="8" borderId="0" xfId="2" applyFont="1" applyFill="1" applyBorder="1" applyAlignment="1" applyProtection="1"/>
    <xf numFmtId="0" fontId="10" fillId="0" borderId="0" xfId="2" applyFont="1" applyFill="1" applyBorder="1" applyAlignment="1" applyProtection="1"/>
    <xf numFmtId="0" fontId="10" fillId="0" borderId="0" xfId="2" applyFont="1" applyFill="1" applyBorder="1" applyAlignment="1" applyProtection="1">
      <alignment readingOrder="2"/>
    </xf>
    <xf numFmtId="0" fontId="2" fillId="8" borderId="9" xfId="2" applyFont="1" applyFill="1" applyBorder="1" applyAlignment="1" applyProtection="1">
      <alignment horizontal="right" vertical="center" wrapText="1" readingOrder="2"/>
    </xf>
    <xf numFmtId="0" fontId="15" fillId="8" borderId="0" xfId="2" applyFill="1" applyProtection="1"/>
    <xf numFmtId="0" fontId="18" fillId="8" borderId="8" xfId="2" applyFont="1" applyFill="1" applyBorder="1" applyAlignment="1" applyProtection="1">
      <alignment horizontal="right" vertical="center" readingOrder="1"/>
    </xf>
    <xf numFmtId="0" fontId="18" fillId="8" borderId="10" xfId="2" applyFont="1" applyFill="1" applyBorder="1" applyAlignment="1" applyProtection="1">
      <alignment horizontal="right" vertical="center" readingOrder="1"/>
    </xf>
    <xf numFmtId="0" fontId="18" fillId="0" borderId="10" xfId="2" applyFont="1" applyFill="1" applyBorder="1" applyAlignment="1" applyProtection="1">
      <alignment horizontal="right" vertical="center" readingOrder="1"/>
    </xf>
    <xf numFmtId="0" fontId="17" fillId="0" borderId="7" xfId="2" applyFont="1" applyFill="1" applyBorder="1" applyAlignment="1" applyProtection="1">
      <alignment horizontal="center" vertical="center"/>
    </xf>
    <xf numFmtId="0" fontId="17" fillId="0" borderId="15" xfId="2" applyFont="1" applyFill="1" applyBorder="1" applyAlignment="1" applyProtection="1">
      <alignment vertical="center"/>
    </xf>
    <xf numFmtId="0" fontId="17" fillId="0" borderId="13" xfId="2" applyFont="1" applyFill="1" applyBorder="1" applyAlignment="1" applyProtection="1">
      <alignment horizontal="right" vertical="center" wrapText="1"/>
    </xf>
    <xf numFmtId="2" fontId="15" fillId="8" borderId="1" xfId="2" applyNumberFormat="1" applyFont="1" applyFill="1" applyBorder="1" applyAlignment="1" applyProtection="1">
      <alignment horizontal="center" vertical="center"/>
    </xf>
    <xf numFmtId="0" fontId="19" fillId="8" borderId="1" xfId="2" applyFont="1" applyFill="1" applyBorder="1" applyAlignment="1" applyProtection="1">
      <alignment horizontal="center" vertical="center"/>
    </xf>
    <xf numFmtId="0" fontId="17" fillId="8" borderId="3" xfId="2" applyFont="1" applyFill="1" applyBorder="1" applyAlignment="1" applyProtection="1">
      <alignment vertical="center"/>
    </xf>
    <xf numFmtId="166" fontId="18" fillId="8" borderId="3" xfId="3" applyNumberFormat="1" applyFont="1" applyFill="1" applyBorder="1" applyAlignment="1" applyProtection="1">
      <alignment readingOrder="1"/>
    </xf>
    <xf numFmtId="0" fontId="17" fillId="8" borderId="4" xfId="2" applyFont="1" applyFill="1" applyBorder="1" applyAlignment="1" applyProtection="1">
      <alignment horizontal="right" vertical="center" wrapText="1"/>
    </xf>
    <xf numFmtId="0" fontId="17" fillId="0" borderId="0" xfId="2" applyFont="1" applyFill="1" applyAlignment="1" applyProtection="1">
      <alignment horizontal="center" vertical="center"/>
    </xf>
    <xf numFmtId="0" fontId="17" fillId="0" borderId="0" xfId="2" applyFont="1" applyFill="1" applyProtection="1"/>
    <xf numFmtId="0" fontId="17" fillId="0" borderId="0" xfId="2" applyFont="1" applyFill="1" applyAlignment="1" applyProtection="1">
      <alignment vertical="center"/>
    </xf>
    <xf numFmtId="0" fontId="17" fillId="0" borderId="0" xfId="2" applyFont="1" applyFill="1" applyAlignment="1" applyProtection="1">
      <alignment horizontal="right" vertical="center" wrapText="1"/>
    </xf>
    <xf numFmtId="0" fontId="15" fillId="0" borderId="2" xfId="2" applyBorder="1" applyProtection="1"/>
    <xf numFmtId="0" fontId="15" fillId="0" borderId="3" xfId="2" applyBorder="1" applyProtection="1"/>
    <xf numFmtId="0" fontId="12" fillId="5" borderId="28" xfId="0" applyFont="1" applyFill="1" applyBorder="1" applyAlignment="1" applyProtection="1">
      <alignment readingOrder="1"/>
    </xf>
    <xf numFmtId="0" fontId="20" fillId="5" borderId="25" xfId="0" applyFont="1" applyFill="1" applyBorder="1" applyAlignment="1" applyProtection="1">
      <alignment readingOrder="1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24" fillId="0" borderId="0" xfId="2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15" fillId="0" borderId="0" xfId="2" applyAlignment="1">
      <alignment horizontal="center" vertical="center" wrapText="1"/>
    </xf>
    <xf numFmtId="0" fontId="26" fillId="9" borderId="29" xfId="2" applyFont="1" applyFill="1" applyBorder="1"/>
    <xf numFmtId="0" fontId="27" fillId="0" borderId="0" xfId="2" applyFont="1"/>
    <xf numFmtId="0" fontId="15" fillId="0" borderId="0" xfId="2"/>
    <xf numFmtId="0" fontId="26" fillId="0" borderId="0" xfId="2" applyFont="1"/>
    <xf numFmtId="0" fontId="26" fillId="9" borderId="0" xfId="2" applyFont="1" applyFill="1"/>
    <xf numFmtId="0" fontId="26" fillId="0" borderId="0" xfId="2" applyFont="1" applyBorder="1"/>
    <xf numFmtId="0" fontId="2" fillId="0" borderId="0" xfId="2" applyFont="1" applyAlignment="1" applyProtection="1">
      <alignment vertical="center"/>
    </xf>
    <xf numFmtId="0" fontId="27" fillId="0" borderId="0" xfId="2" applyFont="1" applyAlignment="1" applyProtection="1">
      <alignment vertical="center"/>
    </xf>
    <xf numFmtId="0" fontId="2" fillId="0" borderId="0" xfId="2" applyFont="1" applyProtection="1"/>
    <xf numFmtId="0" fontId="2" fillId="0" borderId="0" xfId="2" applyFont="1" applyFill="1" applyProtection="1"/>
    <xf numFmtId="0" fontId="2" fillId="0" borderId="0" xfId="2" applyFont="1"/>
    <xf numFmtId="0" fontId="12" fillId="5" borderId="25" xfId="0" applyFont="1" applyFill="1" applyBorder="1" applyAlignment="1" applyProtection="1">
      <alignment horizontal="center" readingOrder="1"/>
    </xf>
    <xf numFmtId="0" fontId="28" fillId="5" borderId="30" xfId="0" applyFont="1" applyFill="1" applyBorder="1" applyAlignment="1" applyProtection="1">
      <alignment vertical="center" readingOrder="1"/>
    </xf>
    <xf numFmtId="0" fontId="28" fillId="5" borderId="31" xfId="0" applyFont="1" applyFill="1" applyBorder="1" applyAlignment="1" applyProtection="1">
      <alignment vertical="center" readingOrder="1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11" fillId="4" borderId="17" xfId="0" applyFont="1" applyFill="1" applyBorder="1" applyAlignment="1" applyProtection="1">
      <alignment horizontal="center"/>
      <protection locked="0"/>
    </xf>
    <xf numFmtId="0" fontId="11" fillId="4" borderId="20" xfId="0" applyFont="1" applyFill="1" applyBorder="1" applyAlignment="1" applyProtection="1">
      <alignment horizontal="center"/>
      <protection locked="0"/>
    </xf>
    <xf numFmtId="0" fontId="11" fillId="4" borderId="22" xfId="0" applyFont="1" applyFill="1" applyBorder="1" applyAlignment="1" applyProtection="1">
      <alignment horizontal="center"/>
    </xf>
    <xf numFmtId="0" fontId="11" fillId="4" borderId="23" xfId="0" applyFont="1" applyFill="1" applyBorder="1" applyAlignment="1" applyProtection="1">
      <alignment horizontal="center"/>
      <protection locked="0"/>
    </xf>
    <xf numFmtId="164" fontId="11" fillId="4" borderId="16" xfId="0" applyNumberFormat="1" applyFont="1" applyFill="1" applyBorder="1" applyAlignment="1" applyProtection="1">
      <alignment horizontal="center"/>
      <protection locked="0"/>
    </xf>
    <xf numFmtId="164" fontId="11" fillId="4" borderId="19" xfId="0" applyNumberFormat="1" applyFont="1" applyFill="1" applyBorder="1" applyAlignment="1" applyProtection="1">
      <alignment horizontal="center"/>
      <protection locked="0"/>
    </xf>
    <xf numFmtId="0" fontId="11" fillId="4" borderId="19" xfId="0" applyFont="1" applyFill="1" applyBorder="1" applyAlignment="1" applyProtection="1">
      <alignment horizontal="center"/>
    </xf>
    <xf numFmtId="0" fontId="12" fillId="5" borderId="25" xfId="0" applyFont="1" applyFill="1" applyBorder="1" applyAlignment="1" applyProtection="1">
      <alignment vertical="center" readingOrder="1"/>
    </xf>
    <xf numFmtId="0" fontId="12" fillId="5" borderId="25" xfId="0" applyFont="1" applyFill="1" applyBorder="1" applyAlignment="1" applyProtection="1">
      <alignment horizontal="center" vertical="center" readingOrder="1"/>
    </xf>
    <xf numFmtId="0" fontId="33" fillId="5" borderId="26" xfId="0" applyFont="1" applyFill="1" applyBorder="1" applyAlignment="1" applyProtection="1">
      <alignment vertical="center" readingOrder="1"/>
    </xf>
    <xf numFmtId="0" fontId="33" fillId="5" borderId="25" xfId="0" applyFont="1" applyFill="1" applyBorder="1" applyAlignment="1" applyProtection="1">
      <alignment vertical="center" readingOrder="1"/>
    </xf>
    <xf numFmtId="0" fontId="33" fillId="5" borderId="27" xfId="0" applyFont="1" applyFill="1" applyBorder="1" applyAlignment="1" applyProtection="1">
      <alignment vertical="center" readingOrder="1"/>
    </xf>
    <xf numFmtId="0" fontId="20" fillId="5" borderId="25" xfId="0" applyFont="1" applyFill="1" applyBorder="1" applyAlignment="1" applyProtection="1">
      <alignment vertical="center" readingOrder="1"/>
    </xf>
    <xf numFmtId="10" fontId="14" fillId="0" borderId="0" xfId="0" applyNumberFormat="1" applyFont="1" applyBorder="1" applyProtection="1">
      <protection locked="0"/>
    </xf>
    <xf numFmtId="10" fontId="32" fillId="0" borderId="0" xfId="0" applyNumberFormat="1" applyFont="1" applyBorder="1" applyProtection="1"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29" fillId="0" borderId="1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14" fillId="3" borderId="1" xfId="0" applyFont="1" applyFill="1" applyBorder="1" applyAlignment="1" applyProtection="1">
      <alignment vertical="center"/>
    </xf>
    <xf numFmtId="0" fontId="31" fillId="3" borderId="2" xfId="0" applyFont="1" applyFill="1" applyBorder="1" applyAlignment="1" applyProtection="1">
      <alignment vertical="center"/>
    </xf>
    <xf numFmtId="0" fontId="35" fillId="3" borderId="3" xfId="0" applyFont="1" applyFill="1" applyBorder="1" applyAlignment="1" applyProtection="1">
      <alignment horizontal="center" vertical="center"/>
    </xf>
    <xf numFmtId="0" fontId="35" fillId="3" borderId="4" xfId="0" applyFont="1" applyFill="1" applyBorder="1" applyAlignment="1" applyProtection="1">
      <alignment horizontal="center" vertical="center"/>
    </xf>
    <xf numFmtId="0" fontId="14" fillId="3" borderId="5" xfId="0" applyFont="1" applyFill="1" applyBorder="1" applyAlignment="1" applyProtection="1">
      <alignment vertical="center"/>
    </xf>
    <xf numFmtId="0" fontId="29" fillId="2" borderId="8" xfId="0" applyFont="1" applyFill="1" applyBorder="1" applyAlignment="1" applyProtection="1">
      <alignment horizontal="center" vertical="center"/>
    </xf>
    <xf numFmtId="164" fontId="29" fillId="2" borderId="9" xfId="0" applyNumberFormat="1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 applyProtection="1">
      <alignment vertical="center"/>
    </xf>
    <xf numFmtId="164" fontId="29" fillId="2" borderId="10" xfId="0" applyNumberFormat="1" applyFont="1" applyFill="1" applyBorder="1" applyAlignment="1" applyProtection="1">
      <alignment horizontal="center" vertical="center"/>
    </xf>
    <xf numFmtId="164" fontId="29" fillId="2" borderId="11" xfId="0" applyNumberFormat="1" applyFont="1" applyFill="1" applyBorder="1" applyAlignment="1" applyProtection="1">
      <alignment horizontal="center" vertical="center"/>
    </xf>
    <xf numFmtId="0" fontId="30" fillId="10" borderId="26" xfId="0" applyFont="1" applyFill="1" applyBorder="1" applyAlignment="1" applyProtection="1">
      <alignment vertical="center"/>
    </xf>
    <xf numFmtId="0" fontId="30" fillId="10" borderId="25" xfId="0" applyFont="1" applyFill="1" applyBorder="1" applyAlignment="1" applyProtection="1">
      <alignment vertical="center"/>
    </xf>
    <xf numFmtId="10" fontId="29" fillId="0" borderId="0" xfId="0" applyNumberFormat="1" applyFont="1" applyBorder="1" applyAlignment="1" applyProtection="1">
      <alignment vertical="center"/>
    </xf>
    <xf numFmtId="0" fontId="14" fillId="3" borderId="7" xfId="0" applyFont="1" applyFill="1" applyBorder="1" applyAlignment="1" applyProtection="1">
      <alignment vertical="center"/>
    </xf>
    <xf numFmtId="164" fontId="29" fillId="2" borderId="12" xfId="0" applyNumberFormat="1" applyFont="1" applyFill="1" applyBorder="1" applyAlignment="1" applyProtection="1">
      <alignment horizontal="center" vertical="center"/>
    </xf>
    <xf numFmtId="164" fontId="29" fillId="2" borderId="13" xfId="0" applyNumberFormat="1" applyFont="1" applyFill="1" applyBorder="1" applyAlignment="1" applyProtection="1">
      <alignment horizontal="center" vertical="center"/>
    </xf>
    <xf numFmtId="165" fontId="0" fillId="0" borderId="4" xfId="3" applyNumberFormat="1" applyFont="1" applyBorder="1" applyProtection="1"/>
    <xf numFmtId="165" fontId="0" fillId="0" borderId="1" xfId="3" applyNumberFormat="1" applyFont="1" applyBorder="1" applyProtection="1"/>
    <xf numFmtId="165" fontId="15" fillId="0" borderId="0" xfId="2" applyNumberFormat="1" applyProtection="1"/>
    <xf numFmtId="0" fontId="16" fillId="4" borderId="6" xfId="2" applyFont="1" applyFill="1" applyBorder="1" applyAlignment="1" applyProtection="1">
      <alignment horizontal="center" vertical="center"/>
    </xf>
    <xf numFmtId="3" fontId="17" fillId="4" borderId="0" xfId="2" applyNumberFormat="1" applyFont="1" applyFill="1" applyBorder="1" applyAlignment="1" applyProtection="1">
      <alignment vertical="center"/>
    </xf>
    <xf numFmtId="0" fontId="2" fillId="4" borderId="11" xfId="2" applyFont="1" applyFill="1" applyBorder="1" applyAlignment="1" applyProtection="1">
      <alignment horizontal="right" vertical="center" wrapText="1" readingOrder="2"/>
    </xf>
    <xf numFmtId="2" fontId="2" fillId="0" borderId="6" xfId="2" quotePrefix="1" applyNumberFormat="1" applyFont="1" applyFill="1" applyBorder="1" applyAlignment="1" applyProtection="1">
      <alignment horizontal="center" vertical="center"/>
    </xf>
    <xf numFmtId="1" fontId="15" fillId="8" borderId="5" xfId="2" applyNumberFormat="1" applyFont="1" applyFill="1" applyBorder="1" applyAlignment="1" applyProtection="1">
      <alignment horizontal="center" vertical="center"/>
    </xf>
    <xf numFmtId="0" fontId="10" fillId="8" borderId="14" xfId="2" applyFont="1" applyFill="1" applyBorder="1" applyAlignment="1" applyProtection="1">
      <alignment readingOrder="1"/>
    </xf>
    <xf numFmtId="0" fontId="17" fillId="8" borderId="9" xfId="2" applyFont="1" applyFill="1" applyBorder="1" applyAlignment="1" applyProtection="1">
      <alignment horizontal="right" vertical="center"/>
    </xf>
    <xf numFmtId="3" fontId="17" fillId="0" borderId="15" xfId="2" applyNumberFormat="1" applyFont="1" applyFill="1" applyBorder="1" applyAlignment="1" applyProtection="1">
      <alignment vertical="center"/>
    </xf>
    <xf numFmtId="0" fontId="10" fillId="4" borderId="0" xfId="2" applyFont="1" applyFill="1" applyBorder="1" applyAlignment="1" applyProtection="1">
      <alignment readingOrder="1"/>
    </xf>
    <xf numFmtId="1" fontId="15" fillId="10" borderId="6" xfId="2" applyNumberFormat="1" applyFont="1" applyFill="1" applyBorder="1" applyAlignment="1" applyProtection="1">
      <alignment horizontal="center" vertical="center"/>
    </xf>
    <xf numFmtId="0" fontId="19" fillId="10" borderId="6" xfId="2" applyFont="1" applyFill="1" applyBorder="1" applyAlignment="1" applyProtection="1">
      <alignment horizontal="center" vertical="center"/>
    </xf>
    <xf numFmtId="0" fontId="10" fillId="10" borderId="0" xfId="2" applyFont="1" applyFill="1" applyBorder="1" applyAlignment="1" applyProtection="1">
      <alignment readingOrder="1"/>
    </xf>
    <xf numFmtId="0" fontId="17" fillId="10" borderId="0" xfId="2" applyFont="1" applyFill="1" applyBorder="1" applyAlignment="1" applyProtection="1">
      <alignment vertical="center"/>
    </xf>
    <xf numFmtId="3" fontId="17" fillId="10" borderId="0" xfId="2" applyNumberFormat="1" applyFont="1" applyFill="1" applyBorder="1" applyAlignment="1" applyProtection="1">
      <alignment vertical="center"/>
    </xf>
    <xf numFmtId="0" fontId="17" fillId="10" borderId="11" xfId="2" applyFont="1" applyFill="1" applyBorder="1" applyAlignment="1" applyProtection="1">
      <alignment horizontal="right" vertical="center" wrapText="1"/>
    </xf>
    <xf numFmtId="0" fontId="10" fillId="10" borderId="0" xfId="2" applyFont="1" applyFill="1" applyBorder="1" applyAlignment="1" applyProtection="1"/>
    <xf numFmtId="0" fontId="10" fillId="10" borderId="0" xfId="2" applyFont="1" applyFill="1" applyBorder="1" applyAlignment="1" applyProtection="1">
      <alignment readingOrder="2"/>
    </xf>
    <xf numFmtId="0" fontId="2" fillId="0" borderId="13" xfId="2" applyFont="1" applyFill="1" applyBorder="1" applyAlignment="1" applyProtection="1">
      <alignment horizontal="right" vertical="center" wrapText="1" readingOrder="2"/>
    </xf>
    <xf numFmtId="0" fontId="0" fillId="0" borderId="0" xfId="0" applyFill="1" applyBorder="1" applyProtection="1"/>
    <xf numFmtId="0" fontId="17" fillId="0" borderId="1" xfId="2" applyFont="1" applyFill="1" applyBorder="1" applyAlignment="1" applyProtection="1">
      <alignment horizontal="center" vertical="center"/>
    </xf>
    <xf numFmtId="165" fontId="15" fillId="0" borderId="3" xfId="2" applyNumberFormat="1" applyBorder="1" applyProtection="1"/>
    <xf numFmtId="167" fontId="11" fillId="4" borderId="17" xfId="0" applyNumberFormat="1" applyFont="1" applyFill="1" applyBorder="1" applyAlignment="1" applyProtection="1">
      <alignment horizontal="center"/>
      <protection locked="0"/>
    </xf>
    <xf numFmtId="167" fontId="11" fillId="4" borderId="20" xfId="0" applyNumberFormat="1" applyFont="1" applyFill="1" applyBorder="1" applyAlignment="1" applyProtection="1">
      <alignment horizontal="center"/>
      <protection locked="0"/>
    </xf>
    <xf numFmtId="167" fontId="11" fillId="4" borderId="23" xfId="0" applyNumberFormat="1" applyFont="1" applyFill="1" applyBorder="1" applyAlignment="1" applyProtection="1">
      <alignment horizontal="center"/>
      <protection locked="0"/>
    </xf>
    <xf numFmtId="167" fontId="11" fillId="4" borderId="18" xfId="0" applyNumberFormat="1" applyFont="1" applyFill="1" applyBorder="1" applyAlignment="1" applyProtection="1">
      <alignment horizontal="center"/>
      <protection locked="0"/>
    </xf>
    <xf numFmtId="167" fontId="11" fillId="4" borderId="21" xfId="0" applyNumberFormat="1" applyFont="1" applyFill="1" applyBorder="1" applyAlignment="1" applyProtection="1">
      <alignment horizontal="center"/>
      <protection locked="0"/>
    </xf>
    <xf numFmtId="167" fontId="11" fillId="4" borderId="24" xfId="0" applyNumberFormat="1" applyFont="1" applyFill="1" applyBorder="1" applyAlignment="1" applyProtection="1">
      <alignment horizontal="center"/>
      <protection locked="0"/>
    </xf>
    <xf numFmtId="0" fontId="12" fillId="5" borderId="26" xfId="0" applyFont="1" applyFill="1" applyBorder="1" applyAlignment="1" applyProtection="1">
      <alignment vertical="center" readingOrder="1"/>
    </xf>
    <xf numFmtId="167" fontId="12" fillId="5" borderId="27" xfId="0" applyNumberFormat="1" applyFont="1" applyFill="1" applyBorder="1" applyAlignment="1" applyProtection="1">
      <alignment vertical="center" readingOrder="1"/>
    </xf>
    <xf numFmtId="0" fontId="12" fillId="5" borderId="28" xfId="0" applyFont="1" applyFill="1" applyBorder="1" applyAlignment="1" applyProtection="1">
      <alignment vertical="center" readingOrder="1"/>
    </xf>
    <xf numFmtId="167" fontId="12" fillId="5" borderId="25" xfId="0" applyNumberFormat="1" applyFont="1" applyFill="1" applyBorder="1" applyAlignment="1" applyProtection="1">
      <alignment horizontal="right" vertical="center" indent="1" readingOrder="1"/>
    </xf>
    <xf numFmtId="5" fontId="26" fillId="9" borderId="29" xfId="2" quotePrefix="1" applyNumberFormat="1" applyFont="1" applyFill="1" applyBorder="1" applyAlignment="1">
      <alignment horizontal="right"/>
    </xf>
    <xf numFmtId="0" fontId="27" fillId="0" borderId="0" xfId="2" applyFont="1" applyAlignment="1">
      <alignment horizontal="center"/>
    </xf>
    <xf numFmtId="5" fontId="26" fillId="0" borderId="0" xfId="2" quotePrefix="1" applyNumberFormat="1" applyFont="1" applyAlignment="1">
      <alignment horizontal="right"/>
    </xf>
    <xf numFmtId="5" fontId="26" fillId="9" borderId="0" xfId="2" applyNumberFormat="1" applyFont="1" applyFill="1" applyAlignment="1">
      <alignment horizontal="right"/>
    </xf>
    <xf numFmtId="5" fontId="26" fillId="0" borderId="0" xfId="2" applyNumberFormat="1" applyFont="1" applyAlignment="1">
      <alignment horizontal="right"/>
    </xf>
    <xf numFmtId="5" fontId="26" fillId="0" borderId="0" xfId="2" applyNumberFormat="1" applyFont="1" applyBorder="1" applyAlignment="1">
      <alignment horizontal="right"/>
    </xf>
    <xf numFmtId="0" fontId="27" fillId="0" borderId="0" xfId="2" applyNumberFormat="1" applyFont="1" applyFill="1" applyBorder="1" applyAlignment="1"/>
    <xf numFmtId="0" fontId="15" fillId="0" borderId="0" xfId="2" applyAlignment="1">
      <alignment horizontal="center"/>
    </xf>
    <xf numFmtId="0" fontId="16" fillId="6" borderId="0" xfId="2" applyFont="1" applyFill="1" applyBorder="1" applyAlignment="1" applyProtection="1">
      <alignment horizontal="center" vertical="center" wrapText="1"/>
    </xf>
    <xf numFmtId="0" fontId="17" fillId="0" borderId="0" xfId="4" applyFont="1" applyFill="1" applyBorder="1" applyAlignment="1" applyProtection="1">
      <alignment vertical="center"/>
    </xf>
    <xf numFmtId="0" fontId="15" fillId="0" borderId="0" xfId="2" applyBorder="1" applyProtection="1"/>
    <xf numFmtId="0" fontId="7" fillId="0" borderId="0" xfId="0" applyFont="1" applyProtection="1"/>
    <xf numFmtId="0" fontId="23" fillId="0" borderId="0" xfId="0" applyFont="1" applyProtection="1"/>
    <xf numFmtId="0" fontId="7" fillId="7" borderId="1" xfId="0" applyFont="1" applyFill="1" applyBorder="1" applyAlignment="1" applyProtection="1">
      <alignment horizontal="center" vertical="center"/>
    </xf>
    <xf numFmtId="0" fontId="22" fillId="7" borderId="1" xfId="0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21" fillId="3" borderId="3" xfId="0" applyFont="1" applyFill="1" applyBorder="1" applyAlignment="1" applyProtection="1">
      <alignment horizontal="center" vertical="center"/>
    </xf>
    <xf numFmtId="0" fontId="21" fillId="3" borderId="4" xfId="0" applyFont="1" applyFill="1" applyBorder="1" applyAlignment="1" applyProtection="1">
      <alignment horizontal="center" vertical="center"/>
    </xf>
    <xf numFmtId="0" fontId="14" fillId="3" borderId="8" xfId="0" applyFont="1" applyFill="1" applyBorder="1" applyProtection="1"/>
    <xf numFmtId="0" fontId="14" fillId="3" borderId="14" xfId="0" applyFont="1" applyFill="1" applyBorder="1" applyProtection="1"/>
    <xf numFmtId="167" fontId="14" fillId="0" borderId="6" xfId="0" applyNumberFormat="1" applyFont="1" applyBorder="1" applyAlignment="1" applyProtection="1">
      <alignment horizontal="right" indent="1"/>
    </xf>
    <xf numFmtId="0" fontId="14" fillId="3" borderId="10" xfId="0" applyFont="1" applyFill="1" applyBorder="1" applyProtection="1"/>
    <xf numFmtId="0" fontId="14" fillId="3" borderId="0" xfId="0" applyFont="1" applyFill="1" applyBorder="1" applyProtection="1"/>
    <xf numFmtId="167" fontId="14" fillId="0" borderId="7" xfId="0" applyNumberFormat="1" applyFont="1" applyBorder="1" applyAlignment="1" applyProtection="1">
      <alignment horizontal="right" indent="1"/>
    </xf>
    <xf numFmtId="0" fontId="8" fillId="3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14" xfId="0" applyBorder="1" applyProtection="1"/>
    <xf numFmtId="0" fontId="7" fillId="0" borderId="0" xfId="0" applyFont="1" applyBorder="1" applyProtection="1"/>
    <xf numFmtId="0" fontId="0" fillId="0" borderId="5" xfId="0" applyBorder="1" applyAlignment="1" applyProtection="1">
      <alignment horizontal="center"/>
    </xf>
    <xf numFmtId="0" fontId="11" fillId="0" borderId="0" xfId="0" applyFont="1" applyBorder="1" applyProtection="1"/>
    <xf numFmtId="167" fontId="11" fillId="0" borderId="0" xfId="0" applyNumberFormat="1" applyFont="1" applyBorder="1" applyAlignment="1" applyProtection="1">
      <alignment horizontal="right" indent="1"/>
    </xf>
    <xf numFmtId="0" fontId="0" fillId="0" borderId="0" xfId="0" applyBorder="1" applyProtection="1"/>
    <xf numFmtId="0" fontId="0" fillId="0" borderId="6" xfId="0" applyBorder="1" applyAlignment="1" applyProtection="1">
      <alignment horizontal="center"/>
    </xf>
    <xf numFmtId="167" fontId="11" fillId="0" borderId="15" xfId="0" applyNumberFormat="1" applyFont="1" applyBorder="1" applyAlignment="1" applyProtection="1">
      <alignment horizontal="right" indent="1"/>
    </xf>
    <xf numFmtId="0" fontId="0" fillId="0" borderId="15" xfId="0" applyBorder="1" applyProtection="1"/>
    <xf numFmtId="167" fontId="3" fillId="3" borderId="4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11" fillId="0" borderId="15" xfId="0" applyFont="1" applyBorder="1" applyProtection="1"/>
    <xf numFmtId="0" fontId="0" fillId="0" borderId="7" xfId="0" applyBorder="1" applyAlignment="1" applyProtection="1">
      <alignment horizontal="center"/>
    </xf>
    <xf numFmtId="0" fontId="0" fillId="0" borderId="10" xfId="0" applyBorder="1" applyProtection="1"/>
    <xf numFmtId="167" fontId="0" fillId="0" borderId="11" xfId="0" applyNumberFormat="1" applyBorder="1" applyProtection="1"/>
    <xf numFmtId="167" fontId="31" fillId="0" borderId="11" xfId="0" applyNumberFormat="1" applyFont="1" applyBorder="1" applyProtection="1"/>
    <xf numFmtId="0" fontId="11" fillId="0" borderId="11" xfId="0" applyFont="1" applyBorder="1" applyProtection="1"/>
    <xf numFmtId="10" fontId="32" fillId="0" borderId="0" xfId="0" applyNumberFormat="1" applyFont="1" applyBorder="1" applyProtection="1"/>
    <xf numFmtId="43" fontId="12" fillId="3" borderId="3" xfId="0" applyNumberFormat="1" applyFont="1" applyFill="1" applyBorder="1" applyAlignment="1" applyProtection="1">
      <alignment horizontal="right" vertical="center" readingOrder="1"/>
    </xf>
    <xf numFmtId="167" fontId="34" fillId="5" borderId="25" xfId="0" applyNumberFormat="1" applyFont="1" applyFill="1" applyBorder="1" applyAlignment="1" applyProtection="1">
      <alignment horizontal="right" vertical="center" indent="1" readingOrder="1"/>
    </xf>
    <xf numFmtId="167" fontId="31" fillId="0" borderId="0" xfId="0" applyNumberFormat="1" applyFont="1" applyBorder="1" applyAlignment="1" applyProtection="1">
      <alignment horizontal="right" indent="1"/>
    </xf>
    <xf numFmtId="0" fontId="0" fillId="4" borderId="10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right" indent="1"/>
    </xf>
    <xf numFmtId="0" fontId="36" fillId="0" borderId="0" xfId="2" applyFont="1"/>
    <xf numFmtId="0" fontId="8" fillId="0" borderId="10" xfId="0" applyFont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/>
    </xf>
    <xf numFmtId="167" fontId="11" fillId="4" borderId="0" xfId="0" applyNumberFormat="1" applyFont="1" applyFill="1" applyBorder="1" applyAlignment="1" applyProtection="1">
      <alignment horizontal="center"/>
    </xf>
    <xf numFmtId="167" fontId="11" fillId="4" borderId="11" xfId="0" applyNumberFormat="1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7" fontId="29" fillId="0" borderId="0" xfId="0" applyNumberFormat="1" applyFont="1" applyBorder="1" applyAlignment="1" applyProtection="1">
      <alignment vertical="center"/>
    </xf>
    <xf numFmtId="167" fontId="29" fillId="0" borderId="11" xfId="0" applyNumberFormat="1" applyFont="1" applyBorder="1" applyAlignment="1" applyProtection="1">
      <alignment vertical="center"/>
    </xf>
    <xf numFmtId="167" fontId="30" fillId="10" borderId="25" xfId="0" applyNumberFormat="1" applyFont="1" applyFill="1" applyBorder="1" applyAlignment="1" applyProtection="1">
      <alignment vertical="center"/>
    </xf>
    <xf numFmtId="167" fontId="30" fillId="10" borderId="27" xfId="0" applyNumberFormat="1" applyFont="1" applyFill="1" applyBorder="1" applyAlignment="1" applyProtection="1">
      <alignment vertical="center"/>
    </xf>
    <xf numFmtId="167" fontId="28" fillId="5" borderId="31" xfId="0" applyNumberFormat="1" applyFont="1" applyFill="1" applyBorder="1" applyAlignment="1" applyProtection="1">
      <alignment vertical="center" readingOrder="1"/>
    </xf>
    <xf numFmtId="167" fontId="28" fillId="5" borderId="32" xfId="0" applyNumberFormat="1" applyFont="1" applyFill="1" applyBorder="1" applyAlignment="1" applyProtection="1">
      <alignment vertical="center" readingOrder="1"/>
    </xf>
    <xf numFmtId="0" fontId="0" fillId="0" borderId="0" xfId="0" applyBorder="1" applyAlignment="1" applyProtection="1">
      <alignment readingOrder="2"/>
      <protection locked="0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readingOrder="2"/>
    </xf>
    <xf numFmtId="0" fontId="3" fillId="3" borderId="3" xfId="0" applyFont="1" applyFill="1" applyBorder="1" applyAlignment="1" applyProtection="1">
      <alignment horizontal="center" vertical="center" readingOrder="2"/>
    </xf>
    <xf numFmtId="0" fontId="0" fillId="0" borderId="0" xfId="0" applyBorder="1" applyAlignment="1" applyProtection="1">
      <alignment readingOrder="2"/>
    </xf>
    <xf numFmtId="0" fontId="12" fillId="5" borderId="25" xfId="0" applyFont="1" applyFill="1" applyBorder="1" applyAlignment="1" applyProtection="1">
      <alignment vertical="center" readingOrder="2"/>
    </xf>
    <xf numFmtId="0" fontId="12" fillId="5" borderId="25" xfId="0" applyFont="1" applyFill="1" applyBorder="1" applyAlignment="1" applyProtection="1">
      <alignment readingOrder="2"/>
    </xf>
    <xf numFmtId="0" fontId="0" fillId="0" borderId="0" xfId="0" applyAlignment="1" applyProtection="1">
      <alignment wrapText="1" readingOrder="2"/>
    </xf>
    <xf numFmtId="0" fontId="0" fillId="0" borderId="3" xfId="0" applyBorder="1" applyAlignment="1" applyProtection="1">
      <alignment vertical="center"/>
    </xf>
    <xf numFmtId="0" fontId="39" fillId="0" borderId="0" xfId="0" applyFont="1" applyProtection="1"/>
    <xf numFmtId="0" fontId="14" fillId="3" borderId="5" xfId="0" applyFont="1" applyFill="1" applyBorder="1" applyProtection="1"/>
    <xf numFmtId="0" fontId="38" fillId="11" borderId="3" xfId="0" applyFont="1" applyFill="1" applyBorder="1" applyProtection="1"/>
    <xf numFmtId="9" fontId="38" fillId="11" borderId="4" xfId="1" applyFont="1" applyFill="1" applyBorder="1" applyProtection="1"/>
    <xf numFmtId="167" fontId="38" fillId="11" borderId="3" xfId="0" applyNumberFormat="1" applyFont="1" applyFill="1" applyBorder="1" applyAlignment="1" applyProtection="1">
      <alignment horizontal="right" indent="1"/>
    </xf>
    <xf numFmtId="0" fontId="14" fillId="3" borderId="2" xfId="0" applyFont="1" applyFill="1" applyBorder="1" applyProtection="1"/>
    <xf numFmtId="167" fontId="38" fillId="0" borderId="8" xfId="0" applyNumberFormat="1" applyFont="1" applyBorder="1" applyAlignment="1" applyProtection="1">
      <alignment horizontal="right" indent="1"/>
      <protection locked="0"/>
    </xf>
    <xf numFmtId="167" fontId="38" fillId="0" borderId="10" xfId="0" applyNumberFormat="1" applyFont="1" applyBorder="1" applyAlignment="1" applyProtection="1">
      <alignment horizontal="right" indent="1"/>
      <protection locked="0"/>
    </xf>
    <xf numFmtId="0" fontId="0" fillId="0" borderId="33" xfId="0" applyBorder="1" applyProtection="1"/>
    <xf numFmtId="0" fontId="0" fillId="0" borderId="33" xfId="0" applyBorder="1" applyAlignment="1" applyProtection="1">
      <alignment horizontal="center"/>
    </xf>
    <xf numFmtId="0" fontId="11" fillId="0" borderId="33" xfId="0" applyFont="1" applyBorder="1" applyProtection="1"/>
    <xf numFmtId="167" fontId="11" fillId="0" borderId="33" xfId="0" applyNumberFormat="1" applyFont="1" applyBorder="1" applyAlignment="1" applyProtection="1">
      <alignment horizontal="right" indent="1"/>
    </xf>
    <xf numFmtId="0" fontId="0" fillId="0" borderId="33" xfId="0" applyBorder="1" applyAlignment="1" applyProtection="1">
      <alignment readingOrder="2"/>
    </xf>
    <xf numFmtId="0" fontId="7" fillId="0" borderId="33" xfId="0" applyFont="1" applyBorder="1" applyProtection="1"/>
    <xf numFmtId="0" fontId="0" fillId="0" borderId="15" xfId="0" applyBorder="1" applyAlignment="1" applyProtection="1">
      <alignment readingOrder="2"/>
    </xf>
    <xf numFmtId="0" fontId="7" fillId="0" borderId="15" xfId="0" applyFont="1" applyBorder="1" applyProtection="1"/>
    <xf numFmtId="0" fontId="3" fillId="3" borderId="2" xfId="0" applyFont="1" applyFill="1" applyBorder="1" applyAlignment="1" applyProtection="1">
      <alignment horizontal="center" vertical="center" wrapText="1"/>
    </xf>
    <xf numFmtId="167" fontId="14" fillId="0" borderId="5" xfId="0" applyNumberFormat="1" applyFont="1" applyBorder="1" applyAlignment="1" applyProtection="1">
      <alignment horizontal="right" indent="1"/>
    </xf>
    <xf numFmtId="0" fontId="14" fillId="12" borderId="8" xfId="0" applyFont="1" applyFill="1" applyBorder="1" applyProtection="1"/>
    <xf numFmtId="0" fontId="14" fillId="12" borderId="14" xfId="0" applyFont="1" applyFill="1" applyBorder="1" applyProtection="1"/>
    <xf numFmtId="0" fontId="14" fillId="12" borderId="12" xfId="0" applyFont="1" applyFill="1" applyBorder="1" applyProtection="1"/>
    <xf numFmtId="0" fontId="14" fillId="12" borderId="15" xfId="0" applyFont="1" applyFill="1" applyBorder="1" applyProtection="1"/>
    <xf numFmtId="0" fontId="8" fillId="0" borderId="0" xfId="0" applyFont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0" fontId="41" fillId="0" borderId="10" xfId="0" applyFont="1" applyBorder="1" applyAlignment="1" applyProtection="1">
      <alignment vertical="center"/>
    </xf>
    <xf numFmtId="10" fontId="41" fillId="0" borderId="0" xfId="0" applyNumberFormat="1" applyFont="1" applyBorder="1" applyAlignment="1" applyProtection="1">
      <alignment vertical="center"/>
    </xf>
    <xf numFmtId="167" fontId="41" fillId="0" borderId="0" xfId="0" applyNumberFormat="1" applyFont="1" applyBorder="1" applyAlignment="1" applyProtection="1">
      <alignment vertical="center"/>
    </xf>
    <xf numFmtId="167" fontId="41" fillId="0" borderId="11" xfId="0" applyNumberFormat="1" applyFont="1" applyBorder="1" applyAlignment="1" applyProtection="1">
      <alignment vertic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/>
    </xf>
    <xf numFmtId="0" fontId="26" fillId="0" borderId="0" xfId="2" applyNumberFormat="1" applyFont="1" applyAlignment="1">
      <alignment horizontal="right"/>
    </xf>
    <xf numFmtId="9" fontId="38" fillId="0" borderId="9" xfId="1" applyFont="1" applyBorder="1" applyAlignment="1" applyProtection="1">
      <alignment horizontal="center"/>
    </xf>
    <xf numFmtId="9" fontId="38" fillId="0" borderId="11" xfId="1" applyFont="1" applyBorder="1" applyAlignment="1" applyProtection="1">
      <alignment horizontal="center"/>
    </xf>
    <xf numFmtId="9" fontId="38" fillId="0" borderId="13" xfId="1" applyFont="1" applyBorder="1" applyAlignment="1" applyProtection="1">
      <alignment horizontal="center"/>
    </xf>
    <xf numFmtId="43" fontId="3" fillId="3" borderId="5" xfId="5" applyFont="1" applyFill="1" applyBorder="1" applyAlignment="1" applyProtection="1">
      <alignment horizontal="center" vertical="center"/>
    </xf>
    <xf numFmtId="0" fontId="14" fillId="3" borderId="12" xfId="0" applyFont="1" applyFill="1" applyBorder="1" applyProtection="1"/>
    <xf numFmtId="0" fontId="14" fillId="3" borderId="15" xfId="0" applyFont="1" applyFill="1" applyBorder="1" applyProtection="1"/>
    <xf numFmtId="43" fontId="3" fillId="3" borderId="7" xfId="5" applyFont="1" applyFill="1" applyBorder="1" applyAlignment="1" applyProtection="1">
      <alignment horizontal="center" vertical="center"/>
    </xf>
    <xf numFmtId="0" fontId="14" fillId="3" borderId="6" xfId="0" applyFont="1" applyFill="1" applyBorder="1" applyProtection="1">
      <protection locked="0"/>
    </xf>
    <xf numFmtId="10" fontId="9" fillId="3" borderId="3" xfId="1" applyNumberFormat="1" applyFont="1" applyFill="1" applyBorder="1" applyAlignment="1" applyProtection="1">
      <alignment vertical="center" wrapText="1" readingOrder="2"/>
    </xf>
    <xf numFmtId="0" fontId="0" fillId="0" borderId="0" xfId="0" applyBorder="1" applyAlignment="1" applyProtection="1">
      <alignment horizontal="right"/>
      <protection locked="0"/>
    </xf>
    <xf numFmtId="0" fontId="9" fillId="3" borderId="3" xfId="0" applyFont="1" applyFill="1" applyBorder="1" applyAlignment="1" applyProtection="1">
      <alignment horizontal="right" vertical="center" wrapText="1"/>
    </xf>
    <xf numFmtId="0" fontId="9" fillId="3" borderId="4" xfId="0" applyFont="1" applyFill="1" applyBorder="1" applyAlignment="1" applyProtection="1">
      <alignment horizontal="right" vertical="center" wrapText="1"/>
    </xf>
    <xf numFmtId="0" fontId="14" fillId="0" borderId="34" xfId="0" applyFont="1" applyBorder="1" applyProtection="1"/>
    <xf numFmtId="0" fontId="14" fillId="0" borderId="35" xfId="0" applyFont="1" applyBorder="1" applyProtection="1"/>
    <xf numFmtId="0" fontId="37" fillId="5" borderId="25" xfId="0" applyFont="1" applyFill="1" applyBorder="1" applyAlignment="1" applyProtection="1">
      <alignment vertical="center" readingOrder="1"/>
    </xf>
    <xf numFmtId="0" fontId="37" fillId="5" borderId="27" xfId="0" applyFont="1" applyFill="1" applyBorder="1" applyAlignment="1" applyProtection="1">
      <alignment vertical="center" readingOrder="1"/>
    </xf>
    <xf numFmtId="0" fontId="12" fillId="5" borderId="25" xfId="0" applyFont="1" applyFill="1" applyBorder="1" applyAlignment="1" applyProtection="1">
      <alignment vertical="center" readingOrder="1"/>
    </xf>
    <xf numFmtId="0" fontId="12" fillId="5" borderId="27" xfId="0" applyFont="1" applyFill="1" applyBorder="1" applyAlignment="1" applyProtection="1">
      <alignment vertical="center" readingOrder="1"/>
    </xf>
    <xf numFmtId="0" fontId="0" fillId="0" borderId="14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34" fillId="5" borderId="25" xfId="0" applyFont="1" applyFill="1" applyBorder="1" applyAlignment="1" applyProtection="1">
      <alignment vertical="center" readingOrder="1"/>
    </xf>
    <xf numFmtId="0" fontId="34" fillId="5" borderId="27" xfId="0" applyFont="1" applyFill="1" applyBorder="1" applyAlignment="1" applyProtection="1">
      <alignment vertical="center" readingOrder="1"/>
    </xf>
    <xf numFmtId="0" fontId="11" fillId="0" borderId="0" xfId="0" applyFont="1" applyBorder="1" applyAlignment="1" applyProtection="1">
      <alignment horizontal="right"/>
    </xf>
    <xf numFmtId="0" fontId="11" fillId="0" borderId="11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37" fillId="0" borderId="8" xfId="0" applyFont="1" applyFill="1" applyBorder="1" applyAlignment="1" applyProtection="1">
      <alignment horizontal="center" vertical="center" wrapText="1" readingOrder="2"/>
    </xf>
    <xf numFmtId="0" fontId="37" fillId="0" borderId="10" xfId="0" applyFont="1" applyFill="1" applyBorder="1" applyAlignment="1" applyProtection="1">
      <alignment horizontal="center" vertical="center" wrapText="1" readingOrder="2"/>
    </xf>
    <xf numFmtId="0" fontId="37" fillId="0" borderId="12" xfId="0" applyFont="1" applyFill="1" applyBorder="1" applyAlignment="1" applyProtection="1">
      <alignment horizontal="center" vertical="center" wrapText="1" readingOrder="2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/>
    </xf>
    <xf numFmtId="0" fontId="7" fillId="0" borderId="34" xfId="0" applyFont="1" applyBorder="1" applyProtection="1"/>
    <xf numFmtId="0" fontId="7" fillId="0" borderId="35" xfId="0" applyFont="1" applyBorder="1" applyProtection="1"/>
    <xf numFmtId="0" fontId="12" fillId="5" borderId="25" xfId="0" applyFont="1" applyFill="1" applyBorder="1" applyAlignment="1" applyProtection="1">
      <alignment readingOrder="1"/>
    </xf>
    <xf numFmtId="0" fontId="12" fillId="5" borderId="27" xfId="0" applyFont="1" applyFill="1" applyBorder="1" applyAlignment="1" applyProtection="1">
      <alignment readingOrder="1"/>
    </xf>
    <xf numFmtId="0" fontId="11" fillId="0" borderId="0" xfId="0" applyFont="1" applyFill="1" applyBorder="1" applyAlignment="1" applyProtection="1">
      <alignment horizontal="right"/>
    </xf>
    <xf numFmtId="0" fontId="11" fillId="0" borderId="11" xfId="0" applyFont="1" applyFill="1" applyBorder="1" applyAlignment="1" applyProtection="1">
      <alignment horizontal="right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right"/>
    </xf>
    <xf numFmtId="0" fontId="7" fillId="3" borderId="13" xfId="0" applyFont="1" applyFill="1" applyBorder="1" applyAlignment="1" applyProtection="1">
      <alignment horizontal="right"/>
    </xf>
    <xf numFmtId="0" fontId="11" fillId="0" borderId="14" xfId="0" applyFont="1" applyBorder="1" applyAlignment="1" applyProtection="1">
      <alignment horizontal="right"/>
    </xf>
    <xf numFmtId="0" fontId="11" fillId="0" borderId="9" xfId="0" applyFont="1" applyBorder="1" applyAlignment="1" applyProtection="1">
      <alignment horizontal="right"/>
    </xf>
    <xf numFmtId="0" fontId="7" fillId="3" borderId="10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7" fillId="3" borderId="10" xfId="0" applyFont="1" applyFill="1" applyBorder="1" applyAlignment="1" applyProtection="1">
      <alignment horizontal="right"/>
    </xf>
    <xf numFmtId="0" fontId="7" fillId="3" borderId="0" xfId="0" applyFont="1" applyFill="1" applyBorder="1" applyAlignment="1" applyProtection="1">
      <alignment horizontal="right"/>
    </xf>
    <xf numFmtId="0" fontId="3" fillId="3" borderId="3" xfId="0" applyFont="1" applyFill="1" applyBorder="1" applyAlignment="1" applyProtection="1">
      <alignment horizontal="center" vertical="center" wrapText="1" readingOrder="2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 readingOrder="2"/>
      <protection locked="0"/>
    </xf>
    <xf numFmtId="0" fontId="0" fillId="0" borderId="0" xfId="0" applyBorder="1" applyAlignment="1" applyProtection="1">
      <alignment readingOrder="2"/>
      <protection locked="0"/>
    </xf>
    <xf numFmtId="0" fontId="0" fillId="0" borderId="15" xfId="0" applyBorder="1" applyAlignment="1" applyProtection="1">
      <alignment horizontal="right" readingOrder="2"/>
      <protection locked="0"/>
    </xf>
    <xf numFmtId="167" fontId="14" fillId="0" borderId="8" xfId="0" applyNumberFormat="1" applyFont="1" applyBorder="1" applyAlignment="1" applyProtection="1">
      <alignment horizontal="center"/>
    </xf>
    <xf numFmtId="167" fontId="14" fillId="0" borderId="9" xfId="0" applyNumberFormat="1" applyFont="1" applyBorder="1" applyAlignment="1" applyProtection="1">
      <alignment horizontal="center"/>
    </xf>
    <xf numFmtId="167" fontId="14" fillId="0" borderId="12" xfId="0" applyNumberFormat="1" applyFont="1" applyBorder="1" applyAlignment="1" applyProtection="1">
      <alignment horizontal="center"/>
    </xf>
    <xf numFmtId="167" fontId="14" fillId="0" borderId="13" xfId="0" applyNumberFormat="1" applyFont="1" applyBorder="1" applyAlignment="1" applyProtection="1">
      <alignment horizontal="center"/>
    </xf>
    <xf numFmtId="0" fontId="0" fillId="0" borderId="3" xfId="0" applyBorder="1" applyAlignment="1" applyProtection="1">
      <alignment horizontal="center" readingOrder="2"/>
    </xf>
    <xf numFmtId="0" fontId="0" fillId="0" borderId="14" xfId="0" applyBorder="1" applyAlignment="1" applyProtection="1">
      <alignment horizontal="center" readingOrder="2"/>
    </xf>
    <xf numFmtId="164" fontId="6" fillId="10" borderId="2" xfId="0" applyNumberFormat="1" applyFont="1" applyFill="1" applyBorder="1" applyAlignment="1" applyProtection="1">
      <alignment horizontal="center" vertical="center"/>
    </xf>
    <xf numFmtId="164" fontId="6" fillId="10" borderId="3" xfId="0" applyNumberFormat="1" applyFont="1" applyFill="1" applyBorder="1" applyAlignment="1" applyProtection="1">
      <alignment horizontal="center" vertical="center"/>
    </xf>
    <xf numFmtId="164" fontId="6" fillId="10" borderId="4" xfId="0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/>
    </xf>
    <xf numFmtId="0" fontId="29" fillId="0" borderId="4" xfId="0" applyFont="1" applyFill="1" applyBorder="1" applyAlignment="1" applyProtection="1">
      <alignment horizontal="center" vertical="center"/>
    </xf>
  </cellXfs>
  <cellStyles count="6">
    <cellStyle name="Comma" xfId="5" builtinId="3"/>
    <cellStyle name="Comma 2" xfId="3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Percent" xfId="1" builtinId="5"/>
  </cellStyles>
  <dxfs count="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color rgb="FF00B050"/>
      </font>
    </dxf>
    <dxf>
      <font>
        <color rgb="FFFF0000"/>
      </font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color rgb="FFF84E4E"/>
      </font>
    </dxf>
    <dxf>
      <fill>
        <patternFill>
          <bgColor rgb="FFE6E6E6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</dxfs>
  <tableStyles count="0" defaultTableStyle="TableStyleMedium2" defaultPivotStyle="PivotStyleLight16"/>
  <colors>
    <mruColors>
      <color rgb="FFFF0000"/>
      <color rgb="FFD1054E"/>
      <color rgb="FFF84E4E"/>
      <color rgb="FFBEBEBE"/>
      <color rgb="FFE6E6E6"/>
      <color rgb="FFD9D9D9"/>
      <color rgb="FFFF7C80"/>
      <color rgb="FFFFFF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352319</xdr:colOff>
      <xdr:row>0</xdr:row>
      <xdr:rowOff>130968</xdr:rowOff>
    </xdr:from>
    <xdr:to>
      <xdr:col>37</xdr:col>
      <xdr:colOff>20240</xdr:colOff>
      <xdr:row>54</xdr:row>
      <xdr:rowOff>175968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11E5DE7-21EE-4666-8D20-D5E05B032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6184666" y="130968"/>
          <a:ext cx="7561765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12</xdr:col>
      <xdr:colOff>195937</xdr:colOff>
      <xdr:row>0</xdr:row>
      <xdr:rowOff>133611</xdr:rowOff>
    </xdr:from>
    <xdr:to>
      <xdr:col>24</xdr:col>
      <xdr:colOff>342634</xdr:colOff>
      <xdr:row>54</xdr:row>
      <xdr:rowOff>178611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A313419-2859-4A4A-AD30-D39AC4F5F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3756116" y="133611"/>
          <a:ext cx="7433322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26139</xdr:colOff>
      <xdr:row>0</xdr:row>
      <xdr:rowOff>126065</xdr:rowOff>
    </xdr:from>
    <xdr:to>
      <xdr:col>12</xdr:col>
      <xdr:colOff>241376</xdr:colOff>
      <xdr:row>54</xdr:row>
      <xdr:rowOff>171065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A791F9D-1D89-4CAB-8521-6C8F8510E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1143999" y="126065"/>
          <a:ext cx="7501862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3345" displayName="Таблица3345" ref="B1:J176" totalsRowShown="0" headerRowDxfId="11" dataDxfId="10" tableBorderDxfId="9">
  <autoFilter ref="B1:J176" xr:uid="{00000000-0009-0000-0100-000002000000}"/>
  <tableColumns count="9">
    <tableColumn id="1" xr3:uid="{00000000-0010-0000-0000-000001000000}" name="סוגה" dataDxfId="8"/>
    <tableColumn id="2" xr3:uid="{00000000-0010-0000-0000-000002000000}" name="קידומת" dataDxfId="7"/>
    <tableColumn id="3" xr3:uid="{00000000-0010-0000-0000-000003000000}" name="מאפיין יחידת מידה" dataDxfId="6"/>
    <tableColumn id="4" xr3:uid="{00000000-0010-0000-0000-000004000000}" name="קידומת2" dataDxfId="5"/>
    <tableColumn id="5" xr3:uid="{00000000-0010-0000-0000-000005000000}" name="קבוצת הוצאות" dataDxfId="4"/>
    <tableColumn id="6" xr3:uid="{00000000-0010-0000-0000-000006000000}" name="קידומת3" dataDxfId="3"/>
    <tableColumn id="7" xr3:uid="{00000000-0010-0000-0000-000007000000}" name="הוצאה" dataDxfId="2"/>
    <tableColumn id="8" xr3:uid="{00000000-0010-0000-0000-000008000000}" name="קידומת4" dataDxfId="1"/>
    <tableColumn id="9" xr3:uid="{00000000-0010-0000-0000-000009000000}" name="פירוט הוצאות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"/>
  <sheetViews>
    <sheetView rightToLeft="1" zoomScale="80" zoomScaleNormal="80" workbookViewId="0">
      <selection activeCell="S54" sqref="S54"/>
    </sheetView>
  </sheetViews>
  <sheetFormatPr defaultRowHeight="14.25" x14ac:dyDescent="0.2"/>
  <sheetData/>
  <sheetProtection algorithmName="SHA-512" hashValue="IZ2RbhL0Poo8OTFlb1N8xDsoCSvfA4JaQzwhwcB0C/hjsHq/Q8aeefhSOv9li5D1rfp9SAZRgZ8W5hgsOUmjNw==" saltValue="V+8lE/9oIEj2LAKthwCCH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7C80"/>
    <pageSetUpPr fitToPage="1"/>
  </sheetPr>
  <dimension ref="B1:S201"/>
  <sheetViews>
    <sheetView rightToLeft="1" tabSelected="1" zoomScale="60" zoomScaleNormal="60" workbookViewId="0">
      <selection activeCell="D7" sqref="D7:E7"/>
    </sheetView>
  </sheetViews>
  <sheetFormatPr defaultColWidth="9" defaultRowHeight="15" x14ac:dyDescent="0.25"/>
  <cols>
    <col min="1" max="1" width="4.375" style="6" customWidth="1"/>
    <col min="2" max="2" width="18" style="6" customWidth="1"/>
    <col min="3" max="3" width="10.625" style="6" customWidth="1"/>
    <col min="4" max="4" width="12.875" style="147" customWidth="1"/>
    <col min="5" max="5" width="19.75" style="147" customWidth="1"/>
    <col min="6" max="6" width="20.375" style="6" customWidth="1"/>
    <col min="7" max="10" width="21.75" style="6" customWidth="1"/>
    <col min="11" max="12" width="21.625" style="6" customWidth="1"/>
    <col min="13" max="13" width="19.875" style="288" bestFit="1" customWidth="1"/>
    <col min="14" max="14" width="29.375" style="288" customWidth="1"/>
    <col min="15" max="15" width="32.125" style="229" customWidth="1"/>
    <col min="16" max="18" width="9" style="6" hidden="1" customWidth="1"/>
    <col min="19" max="19" width="8.125" style="6" customWidth="1"/>
    <col min="20" max="16384" width="9" style="6"/>
  </cols>
  <sheetData>
    <row r="1" spans="2:18" ht="15.75" thickBot="1" x14ac:dyDescent="0.3"/>
    <row r="2" spans="2:18" ht="25.5" customHeight="1" thickBot="1" x14ac:dyDescent="0.35">
      <c r="B2" s="273" t="s">
        <v>477</v>
      </c>
      <c r="C2" s="273"/>
      <c r="D2" s="230"/>
      <c r="E2" s="230"/>
      <c r="F2" s="230" t="s">
        <v>476</v>
      </c>
      <c r="G2" s="377"/>
      <c r="H2" s="378"/>
      <c r="I2" s="378"/>
      <c r="J2" s="378"/>
      <c r="K2" s="378"/>
      <c r="L2" s="379"/>
      <c r="O2" s="231" t="s">
        <v>189</v>
      </c>
    </row>
    <row r="3" spans="2:18" ht="25.5" customHeight="1" thickBot="1" x14ac:dyDescent="0.35">
      <c r="B3" s="277"/>
      <c r="C3" s="2"/>
      <c r="F3" s="230" t="s">
        <v>0</v>
      </c>
      <c r="G3" s="377"/>
      <c r="H3" s="378"/>
      <c r="I3" s="378"/>
      <c r="J3" s="378"/>
      <c r="K3" s="378"/>
      <c r="L3" s="379"/>
      <c r="O3" s="232">
        <f>IF(AND(P3=1,P4=1),1,-1)</f>
        <v>-1</v>
      </c>
      <c r="P3" s="6">
        <f>IF(COUNTIF(R22:R199,"לא"),-1,1)</f>
        <v>1</v>
      </c>
      <c r="Q3" s="6" t="s">
        <v>187</v>
      </c>
    </row>
    <row r="4" spans="2:18" ht="36.75" customHeight="1" thickBot="1" x14ac:dyDescent="0.25">
      <c r="O4" s="233" t="str">
        <f>IF(AND(P3=-1,P4=-1),הגדרות!B29,IF(תקציב!P3=-1,הגדרות!B27,IF(תקציב!P4=-1,הגדרות!B28,הגדרות!B30)))</f>
        <v>קיים מידע חסר בטבלת פרטים כלליים</v>
      </c>
      <c r="P4" s="6">
        <f>IF(AND(NOT(ISBLANK(B3)),NOT(ISBLANK(G2)),NOT(ISBLANK(G3)),NOT(ISBLANK(D7)),NOT(ISBLANK(E9)),NOT(ISBLANK(E15)),NOT(ISBLANK(D15))),1,-1)</f>
        <v>-1</v>
      </c>
      <c r="Q4" s="6" t="s">
        <v>188</v>
      </c>
    </row>
    <row r="5" spans="2:18" ht="15.75" thickBot="1" x14ac:dyDescent="0.3"/>
    <row r="6" spans="2:18" s="2" customFormat="1" ht="18.75" thickBot="1" x14ac:dyDescent="0.25">
      <c r="B6" s="364" t="s">
        <v>1</v>
      </c>
      <c r="C6" s="365"/>
      <c r="D6" s="365"/>
      <c r="E6" s="357"/>
      <c r="G6" s="364" t="s">
        <v>149</v>
      </c>
      <c r="H6" s="365"/>
      <c r="I6" s="365"/>
      <c r="J6" s="357"/>
      <c r="L6" s="285" t="s">
        <v>485</v>
      </c>
      <c r="M6" s="286" t="s">
        <v>487</v>
      </c>
      <c r="N6" s="287" t="s">
        <v>486</v>
      </c>
      <c r="P6" s="294"/>
      <c r="Q6" s="294"/>
      <c r="R6" s="294"/>
    </row>
    <row r="7" spans="2:18" ht="18.75" thickBot="1" x14ac:dyDescent="0.3">
      <c r="B7" s="370" t="s">
        <v>2</v>
      </c>
      <c r="C7" s="371"/>
      <c r="D7" s="380"/>
      <c r="E7" s="381"/>
      <c r="G7" s="285"/>
      <c r="H7" s="286"/>
      <c r="I7" s="234" t="s">
        <v>150</v>
      </c>
      <c r="J7" s="234" t="s">
        <v>64</v>
      </c>
      <c r="L7" s="296" t="s">
        <v>497</v>
      </c>
      <c r="M7" s="301">
        <f>I15</f>
        <v>0</v>
      </c>
      <c r="N7" s="326" t="str">
        <f t="shared" ref="N7:N12" si="0">IFERROR(M7/$M$13,"-")</f>
        <v>-</v>
      </c>
      <c r="P7" s="295"/>
      <c r="Q7" s="295"/>
      <c r="R7" s="295"/>
    </row>
    <row r="8" spans="2:18" ht="16.5" thickBot="1" x14ac:dyDescent="0.3">
      <c r="B8" s="372"/>
      <c r="C8" s="373"/>
      <c r="D8" s="235" t="s">
        <v>3</v>
      </c>
      <c r="E8" s="236" t="s">
        <v>4</v>
      </c>
      <c r="G8" s="237" t="s">
        <v>151</v>
      </c>
      <c r="H8" s="238"/>
      <c r="I8" s="239">
        <f>K165</f>
        <v>0</v>
      </c>
      <c r="J8" s="239" t="str">
        <f>IF(OR(ISBLANK($D$7),$D$7=0),"לא הוזן מספר פרקים",I8/$D$7)</f>
        <v>לא הוזן מספר פרקים</v>
      </c>
      <c r="L8" s="333"/>
      <c r="M8" s="302">
        <v>0</v>
      </c>
      <c r="N8" s="327" t="str">
        <f t="shared" si="0"/>
        <v>-</v>
      </c>
      <c r="P8" s="295"/>
      <c r="Q8" s="295"/>
      <c r="R8" s="295"/>
    </row>
    <row r="9" spans="2:18" ht="15.75" x14ac:dyDescent="0.25">
      <c r="B9" s="374" t="s">
        <v>56</v>
      </c>
      <c r="C9" s="375"/>
      <c r="D9" s="324" t="s">
        <v>59</v>
      </c>
      <c r="E9" s="127"/>
      <c r="G9" s="240" t="s">
        <v>489</v>
      </c>
      <c r="H9" s="241"/>
      <c r="I9" s="239">
        <f>K167+K175</f>
        <v>0</v>
      </c>
      <c r="J9" s="239" t="str">
        <f>IF(OR(ISBLANK($D$7),$D$7=0),"לא הוזן מספר פרקים",I9/$D$7)</f>
        <v>לא הוזן מספר פרקים</v>
      </c>
      <c r="L9" s="333"/>
      <c r="M9" s="302">
        <v>0</v>
      </c>
      <c r="N9" s="327" t="str">
        <f t="shared" si="0"/>
        <v>-</v>
      </c>
      <c r="P9" s="295"/>
      <c r="Q9" s="295"/>
      <c r="R9" s="295"/>
    </row>
    <row r="10" spans="2:18" ht="15.75" x14ac:dyDescent="0.25">
      <c r="B10" s="374" t="s">
        <v>57</v>
      </c>
      <c r="C10" s="375"/>
      <c r="D10" s="22"/>
      <c r="E10" s="127"/>
      <c r="G10" s="240" t="s">
        <v>30</v>
      </c>
      <c r="H10" s="241"/>
      <c r="I10" s="239">
        <f>K179</f>
        <v>0</v>
      </c>
      <c r="J10" s="239" t="str">
        <f>IF(OR(ISBLANK($D$7),$D$7=0),"לא הוזן מספר פרקים",I10/$D$7)</f>
        <v>לא הוזן מספר פרקים</v>
      </c>
      <c r="L10" s="333"/>
      <c r="M10" s="302">
        <v>0</v>
      </c>
      <c r="N10" s="327" t="str">
        <f t="shared" si="0"/>
        <v>-</v>
      </c>
      <c r="P10" s="295"/>
      <c r="Q10" s="295"/>
      <c r="R10" s="295"/>
    </row>
    <row r="11" spans="2:18" ht="15.75" x14ac:dyDescent="0.25">
      <c r="B11" s="374" t="s">
        <v>474</v>
      </c>
      <c r="C11" s="375"/>
      <c r="D11" s="22"/>
      <c r="E11" s="127"/>
      <c r="G11" s="240" t="s">
        <v>508</v>
      </c>
      <c r="H11" s="241"/>
      <c r="I11" s="239">
        <f>K180</f>
        <v>0</v>
      </c>
      <c r="J11" s="239" t="str">
        <f>IF(OR(ISBLANK($D$7),$D$7=0),"לא הוזן מספר פרקים",I11/$D$7)</f>
        <v>לא הוזן מספר פרקים</v>
      </c>
      <c r="L11" s="333"/>
      <c r="M11" s="302">
        <v>0</v>
      </c>
      <c r="N11" s="327" t="str">
        <f t="shared" si="0"/>
        <v>-</v>
      </c>
      <c r="P11" s="295"/>
      <c r="Q11" s="295"/>
      <c r="R11" s="295"/>
    </row>
    <row r="12" spans="2:18" ht="16.5" thickBot="1" x14ac:dyDescent="0.3">
      <c r="B12" s="374" t="s">
        <v>475</v>
      </c>
      <c r="C12" s="375"/>
      <c r="D12" s="22"/>
      <c r="E12" s="127"/>
      <c r="G12" s="240" t="s">
        <v>509</v>
      </c>
      <c r="H12" s="241"/>
      <c r="I12" s="239">
        <f>K183</f>
        <v>0</v>
      </c>
      <c r="J12" s="239" t="str">
        <f>IF(OR(ISBLANK($D$7),$D$7=0),"לא הוזן מספר פרקים",I12/$D$7)</f>
        <v>לא הוזן מספר פרקים</v>
      </c>
      <c r="L12" s="333"/>
      <c r="M12" s="302">
        <v>0</v>
      </c>
      <c r="N12" s="328" t="str">
        <f t="shared" si="0"/>
        <v>-</v>
      </c>
      <c r="P12" s="295"/>
      <c r="Q12" s="295"/>
      <c r="R12" s="295"/>
    </row>
    <row r="13" spans="2:18" ht="16.5" thickBot="1" x14ac:dyDescent="0.3">
      <c r="B13" s="374" t="s">
        <v>503</v>
      </c>
      <c r="C13" s="375"/>
      <c r="D13" s="22"/>
      <c r="E13" s="127"/>
      <c r="G13" s="313" t="s">
        <v>493</v>
      </c>
      <c r="H13" s="314"/>
      <c r="I13" s="312">
        <f>K197</f>
        <v>0</v>
      </c>
      <c r="J13" s="312" t="str">
        <f t="shared" ref="J13:J16" si="1">IF(OR(ISBLANK($D$7),$D$7=0),"לא הוזן מספר פרקים",I13/$D$7)</f>
        <v>לא הוזן מספר פרקים</v>
      </c>
      <c r="L13" s="300" t="s">
        <v>498</v>
      </c>
      <c r="M13" s="299">
        <f>SUM(M7:M12)</f>
        <v>0</v>
      </c>
      <c r="N13" s="298">
        <f>SUM(N7:N12)</f>
        <v>0</v>
      </c>
      <c r="P13" s="297"/>
      <c r="Q13" s="297"/>
      <c r="R13" s="297"/>
    </row>
    <row r="14" spans="2:18" ht="16.5" thickBot="1" x14ac:dyDescent="0.3">
      <c r="B14" s="374" t="s">
        <v>58</v>
      </c>
      <c r="C14" s="375"/>
      <c r="D14" s="22"/>
      <c r="E14" s="127"/>
      <c r="G14" s="315" t="s">
        <v>494</v>
      </c>
      <c r="H14" s="316"/>
      <c r="I14" s="242">
        <f>K200</f>
        <v>0</v>
      </c>
      <c r="J14" s="242" t="str">
        <f t="shared" si="1"/>
        <v>לא הוזן מספר פרקים</v>
      </c>
    </row>
    <row r="15" spans="2:18" ht="18.75" thickBot="1" x14ac:dyDescent="0.3">
      <c r="B15" s="366" t="s">
        <v>504</v>
      </c>
      <c r="C15" s="367"/>
      <c r="D15" s="23"/>
      <c r="E15" s="128"/>
      <c r="G15" s="237" t="s">
        <v>506</v>
      </c>
      <c r="H15" s="238"/>
      <c r="I15" s="329">
        <f>I13+I11</f>
        <v>0</v>
      </c>
      <c r="J15" s="329" t="str">
        <f t="shared" si="1"/>
        <v>לא הוזן מספר פרקים</v>
      </c>
    </row>
    <row r="16" spans="2:18" ht="18.75" thickBot="1" x14ac:dyDescent="0.3">
      <c r="G16" s="330" t="s">
        <v>507</v>
      </c>
      <c r="H16" s="331"/>
      <c r="I16" s="332">
        <f>I14+I12</f>
        <v>0</v>
      </c>
      <c r="J16" s="332" t="str">
        <f t="shared" si="1"/>
        <v>לא הוזן מספר פרקים</v>
      </c>
    </row>
    <row r="17" spans="2:19" ht="15.75" x14ac:dyDescent="0.25">
      <c r="G17" s="313" t="s">
        <v>510</v>
      </c>
      <c r="H17" s="314"/>
      <c r="I17" s="388" t="str">
        <f>IF(OR(ISBLANK(D7),D7=0),"לא הוזן מספר פרקים",IF(OR(ISBLANK(E9),E9=0),"לא הוזן אורך פרק",I11/D7/E9))</f>
        <v>לא הוזן מספר פרקים</v>
      </c>
      <c r="J17" s="389"/>
    </row>
    <row r="18" spans="2:19" ht="16.5" thickBot="1" x14ac:dyDescent="0.3">
      <c r="G18" s="315" t="s">
        <v>511</v>
      </c>
      <c r="H18" s="316"/>
      <c r="I18" s="390" t="str">
        <f>IF(OR(ISBLANK(D7),D7=0),"לא הוזן מספר פרקים",IF(OR(ISBLANK(E9),E9=0),"לא הוזן אורך פרק",I15/D7/E9))</f>
        <v>לא הוזן מספר פרקים</v>
      </c>
      <c r="J18" s="391"/>
    </row>
    <row r="19" spans="2:19" ht="45" customHeight="1" thickBot="1" x14ac:dyDescent="0.3">
      <c r="B19" s="364" t="s">
        <v>492</v>
      </c>
      <c r="C19" s="365"/>
      <c r="D19" s="357"/>
      <c r="E19" s="6"/>
    </row>
    <row r="20" spans="2:19" s="247" customFormat="1" ht="41.25" customHeight="1" thickBot="1" x14ac:dyDescent="0.25">
      <c r="B20" s="164"/>
      <c r="C20" s="148" t="s">
        <v>495</v>
      </c>
      <c r="D20" s="148" t="s">
        <v>60</v>
      </c>
      <c r="E20" s="356" t="s">
        <v>61</v>
      </c>
      <c r="F20" s="356"/>
      <c r="G20" s="148" t="s">
        <v>232</v>
      </c>
      <c r="H20" s="148" t="s">
        <v>3</v>
      </c>
      <c r="I20" s="148" t="s">
        <v>231</v>
      </c>
      <c r="J20" s="148" t="s">
        <v>230</v>
      </c>
      <c r="K20" s="148" t="s">
        <v>233</v>
      </c>
      <c r="L20" s="148" t="s">
        <v>64</v>
      </c>
      <c r="M20" s="376" t="s">
        <v>65</v>
      </c>
      <c r="N20" s="376"/>
      <c r="O20" s="243" t="s">
        <v>66</v>
      </c>
      <c r="P20" s="244" t="s">
        <v>67</v>
      </c>
      <c r="Q20" s="244" t="s">
        <v>67</v>
      </c>
      <c r="R20" s="245" t="s">
        <v>68</v>
      </c>
      <c r="S20" s="246" t="s">
        <v>68</v>
      </c>
    </row>
    <row r="21" spans="2:19" s="247" customFormat="1" ht="17.100000000000001" customHeight="1" x14ac:dyDescent="0.25">
      <c r="B21" s="383" t="s">
        <v>79</v>
      </c>
      <c r="C21" s="318"/>
      <c r="D21" s="146" t="str">
        <f>IFERROR(VLOOKUP($B$3,'מק"ט'!$B$2:$C$27,2,FALSE)&amp;VLOOKUP(H21,'מק"ט'!D:E,2,FALSE)&amp;VLOOKUP(E21,'מק"ט'!H:I,2,FALSE),"")</f>
        <v/>
      </c>
      <c r="E21" s="368" t="s">
        <v>198</v>
      </c>
      <c r="F21" s="369"/>
      <c r="G21" s="155" t="s">
        <v>78</v>
      </c>
      <c r="H21" s="150"/>
      <c r="I21" s="209"/>
      <c r="J21" s="212"/>
      <c r="K21" s="252">
        <f t="shared" ref="K21:K37" si="2">IF(G21="-",I21*J21,G21*I21*J21)</f>
        <v>0</v>
      </c>
      <c r="L21" s="252" t="str">
        <f t="shared" ref="L21:L37" si="3">IFERROR(K21/$D$7,"")</f>
        <v/>
      </c>
      <c r="M21" s="386"/>
      <c r="N21" s="386"/>
      <c r="O21" s="249" t="str">
        <f>IF(OR(Q21,P21),IF(AND(VLOOKUP(E21,Таблица3345[[#All],[הוצאה]:[פירוט הוצאות]],3,FALSE)="כן",K21&gt;0),הגדרות!$B$18,הגדרות!$B$19),הגדרות!$B$21)</f>
        <v/>
      </c>
      <c r="P21" s="253" t="b">
        <f>AND(ISBLANK(H21),OR(ISBLANK(I21),I21=0),OR(ISBLANK(J21),J21=0))</f>
        <v>1</v>
      </c>
      <c r="Q21" s="253" t="b">
        <f>AND(H21&gt;0,I21&gt;0,J21&gt;0)</f>
        <v>0</v>
      </c>
      <c r="R21" s="253" t="str">
        <f>IF(O21=הגדרות!$B$21,הגדרות!$B$25,IF(AND(OR(תקציב!O21=הגדרות!$B$17,תקציב!O21=הגדרות!$B$18,תקציב!O21=הגדרות!$B$22),ISBLANK(תקציב!M21)),הגדרות!$B$25,הגדרות!$B$24))</f>
        <v>כן</v>
      </c>
      <c r="S21" s="254">
        <f>IF(R21=הגדרות!$B$24,1,-1)</f>
        <v>1</v>
      </c>
    </row>
    <row r="22" spans="2:19" ht="17.100000000000001" customHeight="1" x14ac:dyDescent="0.25">
      <c r="B22" s="382"/>
      <c r="C22" s="318">
        <v>-1</v>
      </c>
      <c r="D22" s="146" t="str">
        <f>IFERROR(VLOOKUP($B$3,'מק"ט'!$B$2:$C$27,2,FALSE)&amp;VLOOKUP(H22,'מק"ט'!D:E,2,FALSE)&amp;VLOOKUP(E22,'מק"ט'!H:I,2,FALSE),"")</f>
        <v/>
      </c>
      <c r="E22" s="348" t="s">
        <v>479</v>
      </c>
      <c r="F22" s="349"/>
      <c r="G22" s="154"/>
      <c r="H22" s="150"/>
      <c r="I22" s="209"/>
      <c r="J22" s="212"/>
      <c r="K22" s="252">
        <f t="shared" si="2"/>
        <v>0</v>
      </c>
      <c r="L22" s="252" t="str">
        <f t="shared" si="3"/>
        <v/>
      </c>
      <c r="M22" s="386"/>
      <c r="N22" s="386"/>
      <c r="O22" s="249" t="str">
        <f>IF(OR(Q22,P22),IF(AND(VLOOKUP(E22,Таблица3345[[#All],[הוצאה]:[פירוט הוצאות]],3,FALSE)="כן",K22&gt;0),הגדרות!$B$18,הגדרות!$B$19),הגדרות!$B$21)</f>
        <v/>
      </c>
      <c r="P22" s="253" t="b">
        <f t="shared" ref="P22:P32" si="4">AND(OR(ISBLANK(G22),G22=0),ISBLANK(H22),OR(ISBLANK(I22),I22=0),OR(ISBLANK(J22),J22=0))</f>
        <v>1</v>
      </c>
      <c r="Q22" s="253" t="b">
        <f t="shared" ref="Q22:Q32" si="5">AND(G22&gt;0,H22&gt;0,I22&gt;0,J22&gt;0)</f>
        <v>0</v>
      </c>
      <c r="R22" s="253" t="str">
        <f>IF(O22=הגדרות!$B$21,הגדרות!$B$25,IF(AND(OR(תקציב!O22=הגדרות!$B$17,תקציב!O22=הגדרות!$B$18,תקציב!O22=הגדרות!$B$22),ISBLANK(תקציב!M22)),הגדרות!$B$25,הגדרות!$B$24))</f>
        <v>כן</v>
      </c>
      <c r="S22" s="254">
        <f>IF(R22=הגדרות!$B$24,1,-1)</f>
        <v>1</v>
      </c>
    </row>
    <row r="23" spans="2:19" ht="17.100000000000001" customHeight="1" x14ac:dyDescent="0.25">
      <c r="B23" s="382"/>
      <c r="C23" s="318">
        <v>-1</v>
      </c>
      <c r="D23" s="146" t="str">
        <f>IFERROR(VLOOKUP($B$3,'מק"ט'!$B$2:$C$27,2,FALSE)&amp;VLOOKUP(H23,'מק"ט'!D:E,2,FALSE)&amp;VLOOKUP(E23,'מק"ט'!H:I,2,FALSE),"")</f>
        <v/>
      </c>
      <c r="E23" s="348" t="s">
        <v>480</v>
      </c>
      <c r="F23" s="349"/>
      <c r="G23" s="154"/>
      <c r="H23" s="150"/>
      <c r="I23" s="209"/>
      <c r="J23" s="212"/>
      <c r="K23" s="252">
        <f t="shared" si="2"/>
        <v>0</v>
      </c>
      <c r="L23" s="252" t="str">
        <f t="shared" si="3"/>
        <v/>
      </c>
      <c r="M23" s="386"/>
      <c r="N23" s="386"/>
      <c r="O23" s="249" t="str">
        <f>IF(OR(Q23,P23),IF(AND(VLOOKUP(E23,Таблица3345[[#All],[הוצאה]:[פירוט הוצאות]],3,FALSE)="כן",K23&gt;0),הגדרות!$B$18,הגדרות!$B$19),הגדרות!$B$21)</f>
        <v/>
      </c>
      <c r="P23" s="253" t="b">
        <f t="shared" si="4"/>
        <v>1</v>
      </c>
      <c r="Q23" s="253" t="b">
        <f t="shared" si="5"/>
        <v>0</v>
      </c>
      <c r="R23" s="253" t="str">
        <f>IF(O23=הגדרות!$B$21,הגדרות!$B$25,IF(AND(OR(תקציב!O23=הגדרות!$B$17,תקציב!O23=הגדרות!$B$18,תקציב!O23=הגדרות!$B$22),ISBLANK(תקציב!M23)),הגדרות!$B$25,הגדרות!$B$24))</f>
        <v>כן</v>
      </c>
      <c r="S23" s="254">
        <f>IF(R23=הגדרות!$B$24,1,-1)</f>
        <v>1</v>
      </c>
    </row>
    <row r="24" spans="2:19" ht="17.100000000000001" customHeight="1" x14ac:dyDescent="0.25">
      <c r="B24" s="382"/>
      <c r="C24" s="318">
        <v>-1</v>
      </c>
      <c r="D24" s="146" t="str">
        <f>IFERROR(VLOOKUP($B$3,'מק"ט'!$B$2:$C$27,2,FALSE)&amp;VLOOKUP(H24,'מק"ט'!D:E,2,FALSE)&amp;VLOOKUP(E24,'מק"ט'!H:I,2,FALSE),"")</f>
        <v/>
      </c>
      <c r="E24" s="348" t="s">
        <v>16</v>
      </c>
      <c r="F24" s="349"/>
      <c r="G24" s="154"/>
      <c r="H24" s="150"/>
      <c r="I24" s="209"/>
      <c r="J24" s="212"/>
      <c r="K24" s="252">
        <f t="shared" si="2"/>
        <v>0</v>
      </c>
      <c r="L24" s="252" t="str">
        <f t="shared" si="3"/>
        <v/>
      </c>
      <c r="M24" s="386"/>
      <c r="N24" s="386"/>
      <c r="O24" s="249" t="str">
        <f>IF(OR(Q24,P24),IF(AND(VLOOKUP(E24,Таблица3345[[#All],[הוצאה]:[פירוט הוצאות]],3,FALSE)="כן",K24&gt;0),הגדרות!$B$18,הגדרות!$B$19),הגדרות!$B$21)</f>
        <v/>
      </c>
      <c r="P24" s="253" t="b">
        <f t="shared" si="4"/>
        <v>1</v>
      </c>
      <c r="Q24" s="253" t="b">
        <f t="shared" si="5"/>
        <v>0</v>
      </c>
      <c r="R24" s="253" t="str">
        <f>IF(O24=הגדרות!$B$21,הגדרות!$B$25,IF(AND(OR(תקציב!O24=הגדרות!$B$17,תקציב!O24=הגדרות!$B$18,תקציב!O24=הגדרות!$B$22),ISBLANK(תקציב!M24)),הגדרות!$B$25,הגדרות!$B$24))</f>
        <v>כן</v>
      </c>
      <c r="S24" s="254">
        <f>IF(R24=הגדרות!$B$24,1,-1)</f>
        <v>1</v>
      </c>
    </row>
    <row r="25" spans="2:19" ht="17.100000000000001" customHeight="1" x14ac:dyDescent="0.25">
      <c r="B25" s="382"/>
      <c r="C25" s="318">
        <v>-1</v>
      </c>
      <c r="D25" s="146" t="str">
        <f>IFERROR(VLOOKUP($B$3,'מק"ט'!$B$2:$C$27,2,FALSE)&amp;VLOOKUP(H25,'מק"ט'!D:E,2,FALSE)&amp;VLOOKUP(E25,'מק"ט'!H:I,2,FALSE),"")</f>
        <v/>
      </c>
      <c r="E25" s="348" t="s">
        <v>72</v>
      </c>
      <c r="F25" s="349"/>
      <c r="G25" s="154"/>
      <c r="H25" s="150"/>
      <c r="I25" s="209"/>
      <c r="J25" s="212"/>
      <c r="K25" s="252">
        <f t="shared" si="2"/>
        <v>0</v>
      </c>
      <c r="L25" s="252" t="str">
        <f t="shared" si="3"/>
        <v/>
      </c>
      <c r="M25" s="386"/>
      <c r="N25" s="386"/>
      <c r="O25" s="249" t="str">
        <f>IF(OR(Q25,P25),IF(AND(VLOOKUP(E25,Таблица3345[[#All],[הוצאה]:[פירוט הוצאות]],3,FALSE)="כן",K25&gt;0),הגדרות!$B$18,הגדרות!$B$19),הגדרות!$B$21)</f>
        <v/>
      </c>
      <c r="P25" s="253" t="b">
        <f t="shared" si="4"/>
        <v>1</v>
      </c>
      <c r="Q25" s="253" t="b">
        <f t="shared" si="5"/>
        <v>0</v>
      </c>
      <c r="R25" s="253" t="str">
        <f>IF(O25=הגדרות!$B$21,הגדרות!$B$25,IF(AND(OR(תקציב!O25=הגדרות!$B$17,תקציב!O25=הגדרות!$B$18,תקציב!O25=הגדרות!$B$22),ISBLANK(תקציב!M25)),הגדרות!$B$25,הגדרות!$B$24))</f>
        <v>כן</v>
      </c>
      <c r="S25" s="254">
        <f>IF(R25=הגדרות!$B$24,1,-1)</f>
        <v>1</v>
      </c>
    </row>
    <row r="26" spans="2:19" ht="17.100000000000001" customHeight="1" x14ac:dyDescent="0.25">
      <c r="B26" s="382"/>
      <c r="C26" s="318"/>
      <c r="D26" s="146" t="str">
        <f>IFERROR(VLOOKUP($B$3,'מק"ט'!$B$2:$C$27,2,FALSE)&amp;VLOOKUP(H26,'מק"ט'!D:E,2,FALSE)&amp;VLOOKUP(E26,'מק"ט'!H:I,2,FALSE),"")</f>
        <v/>
      </c>
      <c r="E26" s="348" t="s">
        <v>203</v>
      </c>
      <c r="F26" s="349"/>
      <c r="G26" s="154"/>
      <c r="H26" s="150"/>
      <c r="I26" s="209"/>
      <c r="J26" s="212"/>
      <c r="K26" s="252">
        <f t="shared" si="2"/>
        <v>0</v>
      </c>
      <c r="L26" s="252" t="str">
        <f t="shared" si="3"/>
        <v/>
      </c>
      <c r="M26" s="386"/>
      <c r="N26" s="386"/>
      <c r="O26" s="249" t="str">
        <f>IF(OR(Q26,P26),IF(AND(VLOOKUP(E26,Таблица3345[[#All],[הוצאה]:[פירוט הוצאות]],3,FALSE)="כן",K26&gt;0),הגדרות!$B$18,הגדרות!$B$19),הגדרות!$B$21)</f>
        <v/>
      </c>
      <c r="P26" s="253" t="b">
        <f t="shared" si="4"/>
        <v>1</v>
      </c>
      <c r="Q26" s="253" t="b">
        <f t="shared" si="5"/>
        <v>0</v>
      </c>
      <c r="R26" s="253" t="str">
        <f>IF(O26=הגדרות!$B$21,הגדרות!$B$25,IF(AND(OR(תקציב!O26=הגדרות!$B$17,תקציב!O26=הגדרות!$B$18,תקציב!O26=הגדרות!$B$22),ISBLANK(תקציב!M26)),הגדרות!$B$25,הגדרות!$B$24))</f>
        <v>כן</v>
      </c>
      <c r="S26" s="254">
        <f>IF(R26=הגדרות!$B$24,1,-1)</f>
        <v>1</v>
      </c>
    </row>
    <row r="27" spans="2:19" ht="17.100000000000001" customHeight="1" x14ac:dyDescent="0.25">
      <c r="B27" s="382"/>
      <c r="C27" s="318"/>
      <c r="D27" s="146" t="str">
        <f>IFERROR(VLOOKUP($B$3,'מק"ט'!$B$2:$C$27,2,FALSE)&amp;VLOOKUP(H27,'מק"ט'!D:E,2,FALSE)&amp;VLOOKUP(E27,'מק"ט'!H:I,2,FALSE),"")</f>
        <v/>
      </c>
      <c r="E27" s="348" t="s">
        <v>262</v>
      </c>
      <c r="F27" s="349"/>
      <c r="G27" s="154"/>
      <c r="H27" s="150"/>
      <c r="I27" s="209"/>
      <c r="J27" s="212"/>
      <c r="K27" s="252">
        <f t="shared" si="2"/>
        <v>0</v>
      </c>
      <c r="L27" s="252" t="str">
        <f t="shared" si="3"/>
        <v/>
      </c>
      <c r="M27" s="386"/>
      <c r="N27" s="386"/>
      <c r="O27" s="249" t="str">
        <f>IF(OR(Q27,P27),IF(AND(VLOOKUP(E27,Таблица3345[[#All],[הוצאה]:[פירוט הוצאות]],3,FALSE)="כן",K27&gt;0),הגדרות!$B$18,הגדרות!$B$19),הגדרות!$B$21)</f>
        <v/>
      </c>
      <c r="P27" s="253" t="b">
        <f t="shared" si="4"/>
        <v>1</v>
      </c>
      <c r="Q27" s="253" t="b">
        <f t="shared" si="5"/>
        <v>0</v>
      </c>
      <c r="R27" s="253" t="str">
        <f>IF(O27=הגדרות!$B$21,הגדרות!$B$25,IF(AND(OR(תקציב!O27=הגדרות!$B$17,תקציב!O27=הגדרות!$B$18,תקציב!O27=הגדרות!$B$22),ISBLANK(תקציב!M27)),הגדרות!$B$25,הגדרות!$B$24))</f>
        <v>כן</v>
      </c>
      <c r="S27" s="254">
        <f>IF(R27=הגדרות!$B$24,1,-1)</f>
        <v>1</v>
      </c>
    </row>
    <row r="28" spans="2:19" ht="17.100000000000001" customHeight="1" x14ac:dyDescent="0.25">
      <c r="B28" s="382"/>
      <c r="C28" s="318"/>
      <c r="D28" s="146" t="str">
        <f>IFERROR(VLOOKUP($B$3,'מק"ט'!$B$2:$C$27,2,FALSE)&amp;VLOOKUP(H28,'מק"ט'!D:E,2,FALSE)&amp;VLOOKUP(E28,'מק"ט'!H:I,2,FALSE),"")</f>
        <v/>
      </c>
      <c r="E28" s="348" t="s">
        <v>74</v>
      </c>
      <c r="F28" s="349"/>
      <c r="G28" s="154"/>
      <c r="H28" s="150"/>
      <c r="I28" s="209"/>
      <c r="J28" s="212"/>
      <c r="K28" s="252">
        <f t="shared" si="2"/>
        <v>0</v>
      </c>
      <c r="L28" s="252" t="str">
        <f t="shared" si="3"/>
        <v/>
      </c>
      <c r="M28" s="386"/>
      <c r="N28" s="386"/>
      <c r="O28" s="249" t="str">
        <f>IF(OR(Q28,P28),IF(AND(VLOOKUP(E28,Таблица3345[[#All],[הוצאה]:[פירוט הוצאות]],3,FALSE)="כן",K28&gt;0),הגדרות!$B$18,הגדרות!$B$19),הגדרות!$B$21)</f>
        <v/>
      </c>
      <c r="P28" s="253" t="b">
        <f t="shared" si="4"/>
        <v>1</v>
      </c>
      <c r="Q28" s="253" t="b">
        <f t="shared" si="5"/>
        <v>0</v>
      </c>
      <c r="R28" s="253" t="str">
        <f>IF(O28=הגדרות!$B$21,הגדרות!$B$25,IF(AND(OR(תקציב!O28=הגדרות!$B$17,תקציב!O28=הגדרות!$B$18,תקציב!O28=הגדרות!$B$22),ISBLANK(תקציב!M28)),הגדרות!$B$25,הגדרות!$B$24))</f>
        <v>כן</v>
      </c>
      <c r="S28" s="254">
        <f>IF(R28=הגדרות!$B$24,1,-1)</f>
        <v>1</v>
      </c>
    </row>
    <row r="29" spans="2:19" ht="17.100000000000001" customHeight="1" x14ac:dyDescent="0.25">
      <c r="B29" s="382"/>
      <c r="C29" s="318">
        <v>-1</v>
      </c>
      <c r="D29" s="146" t="str">
        <f>IFERROR(VLOOKUP($B$3,'מק"ט'!$B$2:$C$27,2,FALSE)&amp;VLOOKUP(H29,'מק"ט'!D:E,2,FALSE)&amp;VLOOKUP(E29,'מק"ט'!H:I,2,FALSE),"")</f>
        <v/>
      </c>
      <c r="E29" s="348" t="s">
        <v>481</v>
      </c>
      <c r="F29" s="349"/>
      <c r="G29" s="154"/>
      <c r="H29" s="150"/>
      <c r="I29" s="209"/>
      <c r="J29" s="212"/>
      <c r="K29" s="252">
        <f t="shared" si="2"/>
        <v>0</v>
      </c>
      <c r="L29" s="252" t="str">
        <f t="shared" si="3"/>
        <v/>
      </c>
      <c r="M29" s="386"/>
      <c r="N29" s="386"/>
      <c r="O29" s="249" t="str">
        <f>IF(OR(Q29,P29),IF(AND(VLOOKUP(E29,Таблица3345[[#All],[הוצאה]:[פירוט הוצאות]],3,FALSE)="כן",K29&gt;0),הגדרות!$B$18,הגדרות!$B$19),הגדרות!$B$21)</f>
        <v/>
      </c>
      <c r="P29" s="253" t="b">
        <f t="shared" si="4"/>
        <v>1</v>
      </c>
      <c r="Q29" s="253" t="b">
        <f t="shared" si="5"/>
        <v>0</v>
      </c>
      <c r="R29" s="253" t="str">
        <f>IF(O29=הגדרות!$B$21,הגדרות!$B$25,IF(AND(OR(תקציב!O29=הגדרות!$B$17,תקציב!O29=הגדרות!$B$18,תקציב!O29=הגדרות!$B$22),ISBLANK(תקציב!M29)),הגדרות!$B$25,הגדרות!$B$24))</f>
        <v>כן</v>
      </c>
      <c r="S29" s="254">
        <f>IF(R29=הגדרות!$B$24,1,-1)</f>
        <v>1</v>
      </c>
    </row>
    <row r="30" spans="2:19" ht="17.100000000000001" customHeight="1" x14ac:dyDescent="0.25">
      <c r="B30" s="382"/>
      <c r="C30" s="318">
        <v>-1</v>
      </c>
      <c r="D30" s="146" t="str">
        <f>IFERROR(VLOOKUP($B$3,'מק"ט'!$B$2:$C$27,2,FALSE)&amp;VLOOKUP(H30,'מק"ט'!D:E,2,FALSE)&amp;VLOOKUP(E30,'מק"ט'!H:I,2,FALSE),"")</f>
        <v/>
      </c>
      <c r="E30" s="348" t="s">
        <v>76</v>
      </c>
      <c r="F30" s="349"/>
      <c r="G30" s="154"/>
      <c r="H30" s="150"/>
      <c r="I30" s="209"/>
      <c r="J30" s="212"/>
      <c r="K30" s="252">
        <f t="shared" si="2"/>
        <v>0</v>
      </c>
      <c r="L30" s="252" t="str">
        <f t="shared" si="3"/>
        <v/>
      </c>
      <c r="M30" s="386"/>
      <c r="N30" s="386"/>
      <c r="O30" s="249" t="str">
        <f>IF(OR(Q30,P30),IF(AND(VLOOKUP(E30,Таблица3345[[#All],[הוצאה]:[פירוט הוצאות]],3,FALSE)="כן",K30&gt;0),הגדרות!$B$18,הגדרות!$B$19),הגדרות!$B$21)</f>
        <v/>
      </c>
      <c r="P30" s="253" t="b">
        <f t="shared" si="4"/>
        <v>1</v>
      </c>
      <c r="Q30" s="253" t="b">
        <f t="shared" si="5"/>
        <v>0</v>
      </c>
      <c r="R30" s="253" t="str">
        <f>IF(O30=הגדרות!$B$21,הגדרות!$B$25,IF(AND(OR(תקציב!O30=הגדרות!$B$17,תקציב!O30=הגדרות!$B$18,תקציב!O30=הגדרות!$B$22),ISBLANK(תקציב!M30)),הגדרות!$B$25,הגדרות!$B$24))</f>
        <v>כן</v>
      </c>
      <c r="S30" s="254">
        <f>IF(R30=הגדרות!$B$24,1,-1)</f>
        <v>1</v>
      </c>
    </row>
    <row r="31" spans="2:19" ht="17.100000000000001" customHeight="1" x14ac:dyDescent="0.25">
      <c r="B31" s="382"/>
      <c r="C31" s="318">
        <v>-1</v>
      </c>
      <c r="D31" s="146" t="str">
        <f>IFERROR(VLOOKUP($B$3,'מק"ט'!$B$2:$C$27,2,FALSE)&amp;VLOOKUP(H31,'מק"ט'!D:E,2,FALSE)&amp;VLOOKUP(E31,'מק"ט'!H:I,2,FALSE),"")</f>
        <v/>
      </c>
      <c r="E31" s="348" t="s">
        <v>204</v>
      </c>
      <c r="F31" s="349"/>
      <c r="G31" s="154"/>
      <c r="H31" s="150"/>
      <c r="I31" s="209"/>
      <c r="J31" s="212"/>
      <c r="K31" s="252">
        <f t="shared" si="2"/>
        <v>0</v>
      </c>
      <c r="L31" s="252" t="str">
        <f t="shared" si="3"/>
        <v/>
      </c>
      <c r="M31" s="386"/>
      <c r="N31" s="386"/>
      <c r="O31" s="249" t="str">
        <f>IF(OR(Q31,P31),IF(AND(VLOOKUP(E31,Таблица3345[[#All],[הוצאה]:[פירוט הוצאות]],3,FALSE)="כן",K31&gt;0),הגדרות!$B$18,הגדרות!$B$19),הגדרות!$B$21)</f>
        <v/>
      </c>
      <c r="P31" s="253" t="b">
        <f t="shared" si="4"/>
        <v>1</v>
      </c>
      <c r="Q31" s="253" t="b">
        <f t="shared" si="5"/>
        <v>0</v>
      </c>
      <c r="R31" s="253" t="str">
        <f>IF(O31=הגדרות!$B$21,הגדרות!$B$25,IF(AND(OR(תקציב!O31=הגדרות!$B$17,תקציב!O31=הגדרות!$B$18,תקציב!O31=הגדרות!$B$22),ISBLANK(תקציב!M31)),הגדרות!$B$25,הגדרות!$B$24))</f>
        <v>כן</v>
      </c>
      <c r="S31" s="254">
        <f>IF(R31=הגדרות!$B$24,1,-1)</f>
        <v>1</v>
      </c>
    </row>
    <row r="32" spans="2:19" ht="17.100000000000001" customHeight="1" x14ac:dyDescent="0.25">
      <c r="B32" s="382"/>
      <c r="C32" s="318"/>
      <c r="D32" s="146" t="str">
        <f>IFERROR(VLOOKUP($B$3,'מק"ט'!$B$2:$C$27,2,FALSE)&amp;VLOOKUP(H32,'מק"ט'!D:E,2,FALSE)&amp;VLOOKUP(E32,'מק"ט'!H:I,2,FALSE),"")</f>
        <v/>
      </c>
      <c r="E32" s="348" t="s">
        <v>205</v>
      </c>
      <c r="F32" s="349"/>
      <c r="G32" s="154"/>
      <c r="H32" s="150"/>
      <c r="I32" s="209"/>
      <c r="J32" s="212"/>
      <c r="K32" s="252">
        <f t="shared" si="2"/>
        <v>0</v>
      </c>
      <c r="L32" s="252" t="str">
        <f t="shared" si="3"/>
        <v/>
      </c>
      <c r="M32" s="386"/>
      <c r="N32" s="386"/>
      <c r="O32" s="249" t="str">
        <f>IF(OR(Q32,P32),IF(AND(VLOOKUP(E32,Таблица3345[[#All],[הוצאה]:[פירוט הוצאות]],3,FALSE)="כן",K32&gt;0),הגדרות!$B$18,הגדרות!$B$19),הגדרות!$B$21)</f>
        <v/>
      </c>
      <c r="P32" s="253" t="b">
        <f t="shared" si="4"/>
        <v>1</v>
      </c>
      <c r="Q32" s="253" t="b">
        <f t="shared" si="5"/>
        <v>0</v>
      </c>
      <c r="R32" s="253" t="str">
        <f>IF(O32=הגדרות!$B$21,הגדרות!$B$25,IF(AND(OR(תקציב!O32=הגדרות!$B$17,תקציב!O32=הגדרות!$B$18,תקציב!O32=הגדרות!$B$22),ISBLANK(תקציב!M32)),הגדרות!$B$25,הגדרות!$B$24))</f>
        <v>כן</v>
      </c>
      <c r="S32" s="254">
        <f>IF(R32=הגדרות!$B$24,1,-1)</f>
        <v>1</v>
      </c>
    </row>
    <row r="33" spans="2:19" s="253" customFormat="1" ht="17.100000000000001" customHeight="1" x14ac:dyDescent="0.25">
      <c r="B33" s="382"/>
      <c r="C33" s="318"/>
      <c r="D33" s="146" t="str">
        <f>IFERROR(VLOOKUP($B$3,'מק"ט'!$B$2:$C$27,2,FALSE)&amp;VLOOKUP(H33,'מק"ט'!D:E,2,FALSE)&amp;VLOOKUP(E33,'מק"ט'!H:I,2,FALSE),"")</f>
        <v/>
      </c>
      <c r="E33" s="348" t="s">
        <v>13</v>
      </c>
      <c r="F33" s="349"/>
      <c r="G33" s="155" t="s">
        <v>78</v>
      </c>
      <c r="H33" s="150"/>
      <c r="I33" s="209"/>
      <c r="J33" s="212"/>
      <c r="K33" s="252">
        <f t="shared" si="2"/>
        <v>0</v>
      </c>
      <c r="L33" s="252" t="str">
        <f t="shared" si="3"/>
        <v/>
      </c>
      <c r="M33" s="386"/>
      <c r="N33" s="386"/>
      <c r="O33" s="249" t="str">
        <f>IF(OR(Q33,P33),IF(AND(VLOOKUP(E33,Таблица3345[[#All],[הוצאה]:[פירוט הוצאות]],3,FALSE)="כן",K33&gt;0),הגדרות!$B$18,הגדרות!$B$19),הגדרות!$B$21)</f>
        <v/>
      </c>
      <c r="P33" s="253" t="b">
        <f>AND(ISBLANK(H33),OR(ISBLANK(I33),I33=0),OR(ISBLANK(J33),J33=0))</f>
        <v>1</v>
      </c>
      <c r="Q33" s="253" t="b">
        <f>AND(H33&gt;0,I33&gt;0,J33&gt;0)</f>
        <v>0</v>
      </c>
      <c r="R33" s="253" t="str">
        <f>IF(O33=הגדרות!$B$21,הגדרות!$B$25,IF(AND(OR(תקציב!O33=הגדרות!$B$17,תקציב!O33=הגדרות!$B$18,תקציב!O33=הגדרות!$B$22),ISBLANK(תקציב!M33)),הגדרות!$B$25,הגדרות!$B$24))</f>
        <v>כן</v>
      </c>
      <c r="S33" s="254">
        <f>IF(R33=הגדרות!$B$24,1,-1)</f>
        <v>1</v>
      </c>
    </row>
    <row r="34" spans="2:19" s="253" customFormat="1" ht="17.100000000000001" customHeight="1" x14ac:dyDescent="0.25">
      <c r="B34" s="382"/>
      <c r="C34" s="318"/>
      <c r="D34" s="146" t="str">
        <f>IFERROR(VLOOKUP($B$3,'מק"ט'!$B$2:$C$27,2,FALSE)&amp;VLOOKUP(H34,'מק"ט'!D:E,2,FALSE)&amp;VLOOKUP(E34,'מק"ט'!H:I,2,FALSE),"")</f>
        <v/>
      </c>
      <c r="E34" s="348" t="s">
        <v>13</v>
      </c>
      <c r="F34" s="349"/>
      <c r="G34" s="155" t="s">
        <v>78</v>
      </c>
      <c r="H34" s="150"/>
      <c r="I34" s="209"/>
      <c r="J34" s="212"/>
      <c r="K34" s="252">
        <f t="shared" si="2"/>
        <v>0</v>
      </c>
      <c r="L34" s="252" t="str">
        <f t="shared" si="3"/>
        <v/>
      </c>
      <c r="M34" s="386"/>
      <c r="N34" s="386"/>
      <c r="O34" s="249" t="str">
        <f>IF(OR(Q34,P34),IF(AND(VLOOKUP(E34,Таблица3345[[#All],[הוצאה]:[פירוט הוצאות]],3,FALSE)="כן",K34&gt;0),הגדרות!$B$18,הגדרות!$B$19),הגדרות!$B$21)</f>
        <v/>
      </c>
      <c r="P34" s="253" t="b">
        <f>AND(ISBLANK(H34),OR(ISBLANK(I34),I34=0),OR(ISBLANK(J34),J34=0))</f>
        <v>1</v>
      </c>
      <c r="Q34" s="253" t="b">
        <f>AND(H34&gt;0,I34&gt;0,J34&gt;0)</f>
        <v>0</v>
      </c>
      <c r="R34" s="253" t="str">
        <f>IF(O34=הגדרות!$B$21,הגדרות!$B$25,IF(AND(OR(תקציב!O34=הגדרות!$B$17,תקציב!O34=הגדרות!$B$18,תקציב!O34=הגדרות!$B$22),ISBLANK(תקציב!M34)),הגדרות!$B$25,הגדרות!$B$24))</f>
        <v>כן</v>
      </c>
      <c r="S34" s="254">
        <f>IF(R34=הגדרות!$B$24,1,-1)</f>
        <v>1</v>
      </c>
    </row>
    <row r="35" spans="2:19" s="253" customFormat="1" ht="17.100000000000001" customHeight="1" x14ac:dyDescent="0.25">
      <c r="B35" s="382"/>
      <c r="C35" s="318"/>
      <c r="D35" s="146" t="str">
        <f>IFERROR(VLOOKUP($B$3,'מק"ט'!$B$2:$C$27,2,FALSE)&amp;VLOOKUP(H35,'מק"ט'!D:E,2,FALSE)&amp;VLOOKUP(E35,'מק"ט'!H:I,2,FALSE),"")</f>
        <v/>
      </c>
      <c r="E35" s="348" t="s">
        <v>13</v>
      </c>
      <c r="F35" s="349"/>
      <c r="G35" s="155" t="s">
        <v>78</v>
      </c>
      <c r="H35" s="150"/>
      <c r="I35" s="209"/>
      <c r="J35" s="212"/>
      <c r="K35" s="252">
        <f t="shared" si="2"/>
        <v>0</v>
      </c>
      <c r="L35" s="252" t="str">
        <f t="shared" si="3"/>
        <v/>
      </c>
      <c r="M35" s="386"/>
      <c r="N35" s="386"/>
      <c r="O35" s="249" t="str">
        <f>IF(OR(Q35,P35),IF(AND(VLOOKUP(E35,Таблица3345[[#All],[הוצאה]:[פירוט הוצאות]],3,FALSE)="כן",K35&gt;0),הגדרות!$B$18,הגדרות!$B$19),הגדרות!$B$21)</f>
        <v/>
      </c>
      <c r="P35" s="253" t="b">
        <f>AND(ISBLANK(H35),OR(ISBLANK(I35),I35=0),OR(ISBLANK(J35),J35=0))</f>
        <v>1</v>
      </c>
      <c r="Q35" s="253" t="b">
        <f>AND(H35&gt;0,I35&gt;0,J35&gt;0)</f>
        <v>0</v>
      </c>
      <c r="R35" s="253" t="str">
        <f>IF(O35=הגדרות!$B$21,הגדרות!$B$25,IF(AND(OR(תקציב!O35=הגדרות!$B$17,תקציב!O35=הגדרות!$B$18,תקציב!O35=הגדרות!$B$22),ISBLANK(תקציב!M35)),הגדרות!$B$25,הגדרות!$B$24))</f>
        <v>כן</v>
      </c>
      <c r="S35" s="254">
        <f>IF(R35=הגדרות!$B$24,1,-1)</f>
        <v>1</v>
      </c>
    </row>
    <row r="36" spans="2:19" s="253" customFormat="1" ht="17.100000000000001" customHeight="1" x14ac:dyDescent="0.25">
      <c r="B36" s="382"/>
      <c r="C36" s="318"/>
      <c r="D36" s="146" t="str">
        <f>IFERROR(VLOOKUP($B$3,'מק"ט'!$B$2:$C$27,2,FALSE)&amp;VLOOKUP(H36,'מק"ט'!D:E,2,FALSE)&amp;VLOOKUP(E36,'מק"ט'!H:I,2,FALSE),"")</f>
        <v/>
      </c>
      <c r="E36" s="348" t="s">
        <v>13</v>
      </c>
      <c r="F36" s="349"/>
      <c r="G36" s="155" t="s">
        <v>78</v>
      </c>
      <c r="H36" s="150"/>
      <c r="I36" s="209"/>
      <c r="J36" s="212"/>
      <c r="K36" s="252">
        <f t="shared" si="2"/>
        <v>0</v>
      </c>
      <c r="L36" s="252" t="str">
        <f t="shared" si="3"/>
        <v/>
      </c>
      <c r="M36" s="386"/>
      <c r="N36" s="386"/>
      <c r="O36" s="249" t="str">
        <f>IF(OR(Q36,P36),IF(AND(VLOOKUP(E36,Таблица3345[[#All],[הוצאה]:[פירוט הוצאות]],3,FALSE)="כן",K36&gt;0),הגדרות!$B$18,הגדרות!$B$19),הגדרות!$B$21)</f>
        <v/>
      </c>
      <c r="P36" s="253" t="b">
        <f>AND(ISBLANK(H36),OR(ISBLANK(I36),I36=0),OR(ISBLANK(J36),J36=0))</f>
        <v>1</v>
      </c>
      <c r="Q36" s="253" t="b">
        <f>AND(H36&gt;0,I36&gt;0,J36&gt;0)</f>
        <v>0</v>
      </c>
      <c r="R36" s="253" t="str">
        <f>IF(O36=הגדרות!$B$21,הגדרות!$B$25,IF(AND(OR(תקציב!O36=הגדרות!$B$17,תקציב!O36=הגדרות!$B$18,תקציב!O36=הגדרות!$B$22),ISBLANK(תקציב!M36)),הגדרות!$B$25,הגדרות!$B$24))</f>
        <v>כן</v>
      </c>
      <c r="S36" s="254">
        <f>IF(R36=הגדרות!$B$24,1,-1)</f>
        <v>1</v>
      </c>
    </row>
    <row r="37" spans="2:19" s="253" customFormat="1" ht="17.100000000000001" customHeight="1" thickBot="1" x14ac:dyDescent="0.3">
      <c r="B37" s="384"/>
      <c r="C37" s="318"/>
      <c r="D37" s="146" t="str">
        <f>IFERROR(VLOOKUP($B$3,'מק"ט'!$B$2:$C$27,2,FALSE)&amp;VLOOKUP(H37,'מק"ט'!D:E,2,FALSE)&amp;VLOOKUP(E37,'מק"ט'!H:I,2,FALSE),"")</f>
        <v/>
      </c>
      <c r="E37" s="348" t="s">
        <v>13</v>
      </c>
      <c r="F37" s="349"/>
      <c r="G37" s="151" t="s">
        <v>78</v>
      </c>
      <c r="H37" s="152"/>
      <c r="I37" s="210"/>
      <c r="J37" s="213"/>
      <c r="K37" s="255">
        <f t="shared" si="2"/>
        <v>0</v>
      </c>
      <c r="L37" s="255" t="str">
        <f t="shared" si="3"/>
        <v/>
      </c>
      <c r="M37" s="386"/>
      <c r="N37" s="386"/>
      <c r="O37" s="249" t="str">
        <f>IF(OR(Q37,P37),IF(AND(VLOOKUP(E37,Таблица3345[[#All],[הוצאה]:[פירוט הוצאות]],3,FALSE)="כן",K37&gt;0),הגדרות!$B$18,הגדרות!$B$19),הגדרות!$B$21)</f>
        <v/>
      </c>
      <c r="P37" s="253" t="b">
        <f>AND(ISBLANK(H37),OR(ISBLANK(I37),I37=0),OR(ISBLANK(J37),J37=0))</f>
        <v>1</v>
      </c>
      <c r="Q37" s="253" t="b">
        <f>AND(H37&gt;0,I37&gt;0,J37&gt;0)</f>
        <v>0</v>
      </c>
      <c r="R37" s="253" t="str">
        <f>IF(O37=הגדרות!$B$21,הגדרות!$B$25,IF(AND(OR(תקציב!O37=הגדרות!$B$17,תקציב!O37=הגדרות!$B$18,תקציב!O37=הגדרות!$B$22),ISBLANK(תקציב!M37)),הגדרות!$B$25,הגדרות!$B$24))</f>
        <v>כן</v>
      </c>
      <c r="S37" s="254">
        <f>IF(R37=הגדרות!$B$24,1,-1)</f>
        <v>1</v>
      </c>
    </row>
    <row r="38" spans="2:19" s="2" customFormat="1" ht="18.75" thickBot="1" x14ac:dyDescent="0.25">
      <c r="B38" s="164"/>
      <c r="C38" s="148"/>
      <c r="D38" s="148"/>
      <c r="E38" s="336" t="s">
        <v>96</v>
      </c>
      <c r="F38" s="337"/>
      <c r="G38" s="164"/>
      <c r="H38" s="148"/>
      <c r="I38" s="148"/>
      <c r="J38" s="257"/>
      <c r="K38" s="266">
        <f>SUM(K21:K37)</f>
        <v>0</v>
      </c>
      <c r="L38" s="266">
        <f>SUM(L21:L37)</f>
        <v>0</v>
      </c>
      <c r="M38" s="289"/>
      <c r="N38" s="289"/>
      <c r="O38" s="243"/>
      <c r="P38" s="148"/>
      <c r="Q38" s="148"/>
      <c r="R38" s="148"/>
      <c r="S38" s="258"/>
    </row>
    <row r="39" spans="2:19" ht="17.100000000000001" customHeight="1" x14ac:dyDescent="0.25">
      <c r="B39" s="383" t="s">
        <v>97</v>
      </c>
      <c r="C39" s="318">
        <v>-1</v>
      </c>
      <c r="D39" s="146" t="str">
        <f>IFERROR(VLOOKUP($B$3,'מק"ט'!$B$2:$C$27,2,FALSE)&amp;VLOOKUP(H39,'מק"ט'!D:E,2,FALSE)&amp;VLOOKUP(E39,'מק"ט'!H:I,2,FALSE),"")</f>
        <v/>
      </c>
      <c r="E39" s="348" t="s">
        <v>80</v>
      </c>
      <c r="F39" s="349"/>
      <c r="G39" s="153"/>
      <c r="H39" s="149"/>
      <c r="I39" s="208"/>
      <c r="J39" s="211"/>
      <c r="K39" s="252">
        <f t="shared" ref="K39:K52" si="6">IF(G39="-",I39*J39,G39*I39*J39)</f>
        <v>0</v>
      </c>
      <c r="L39" s="252" t="str">
        <f t="shared" ref="L39:L52" si="7">IFERROR(K39/$D$7,"")</f>
        <v/>
      </c>
      <c r="M39" s="385"/>
      <c r="N39" s="385"/>
      <c r="O39" s="249" t="str">
        <f>IF(OR(Q39,P39),IF(AND(VLOOKUP(E39,Таблица3345[[#All],[הוצאה]:[פירוט הוצאות]],3,FALSE)="כן",K39&gt;0),הגדרות!$B$18,הגדרות!$B$19),הגדרות!$B$21)</f>
        <v/>
      </c>
      <c r="P39" s="248" t="b">
        <f>AND(OR(ISBLANK(G39),G39=0),ISBLANK(H39),OR(ISBLANK(I39),I39=0),OR(ISBLANK(J39),J39=0))</f>
        <v>1</v>
      </c>
      <c r="Q39" s="248" t="b">
        <f>AND(G39&gt;0,H39&gt;0,I39&gt;0,J39&gt;0)</f>
        <v>0</v>
      </c>
      <c r="R39" s="248" t="str">
        <f>IF(O39=הגדרות!$B$21,הגדרות!$B$25,IF(AND(OR(תקציב!O39=הגדרות!$B$17,תקציב!O39=הגדרות!$B$18,תקציב!O39=הגדרות!$B$22),ISBLANK(תקציב!M39)),הגדרות!$B$25,הגדרות!$B$24))</f>
        <v>כן</v>
      </c>
      <c r="S39" s="250">
        <f>IF(R39=הגדרות!$B$24,1,-1)</f>
        <v>1</v>
      </c>
    </row>
    <row r="40" spans="2:19" ht="17.100000000000001" customHeight="1" x14ac:dyDescent="0.25">
      <c r="B40" s="382"/>
      <c r="C40" s="318"/>
      <c r="D40" s="146" t="str">
        <f>IFERROR(VLOOKUP($B$3,'מק"ט'!$B$2:$C$27,2,FALSE)&amp;VLOOKUP(H40,'מק"ט'!D:E,2,FALSE)&amp;VLOOKUP(E40,'מק"ט'!H:I,2,FALSE),"")</f>
        <v/>
      </c>
      <c r="E40" s="348" t="s">
        <v>81</v>
      </c>
      <c r="F40" s="349"/>
      <c r="G40" s="154"/>
      <c r="H40" s="150"/>
      <c r="I40" s="209"/>
      <c r="J40" s="212"/>
      <c r="K40" s="252">
        <f t="shared" si="6"/>
        <v>0</v>
      </c>
      <c r="L40" s="252" t="str">
        <f t="shared" si="7"/>
        <v/>
      </c>
      <c r="M40" s="385"/>
      <c r="N40" s="385"/>
      <c r="O40" s="249" t="str">
        <f>IF(OR(Q40,P40),IF(AND(VLOOKUP(E40,Таблица3345[[#All],[הוצאה]:[פירוט הוצאות]],3,FALSE)="כן",K40&gt;0),הגדרות!$B$18,הגדרות!$B$19),הגדרות!$B$21)</f>
        <v/>
      </c>
      <c r="P40" s="253" t="b">
        <f>AND(OR(ISBLANK(G40),G40=0),ISBLANK(H40),OR(ISBLANK(I40),I40=0),OR(ISBLANK(J40),J40=0))</f>
        <v>1</v>
      </c>
      <c r="Q40" s="253" t="b">
        <f>AND(G40&gt;0,H40&gt;0,I40&gt;0,J40&gt;0)</f>
        <v>0</v>
      </c>
      <c r="R40" s="253" t="str">
        <f>IF(O40=הגדרות!$B$21,הגדרות!$B$25,IF(AND(OR(תקציב!O40=הגדרות!$B$17,תקציב!O40=הגדרות!$B$18,תקציב!O40=הגדרות!$B$22),ISBLANK(תקציב!M40)),הגדרות!$B$25,הגדרות!$B$24))</f>
        <v>כן</v>
      </c>
      <c r="S40" s="254">
        <f>IF(R40=הגדרות!$B$24,1,-1)</f>
        <v>1</v>
      </c>
    </row>
    <row r="41" spans="2:19" ht="17.100000000000001" customHeight="1" x14ac:dyDescent="0.25">
      <c r="B41" s="382"/>
      <c r="C41" s="318"/>
      <c r="D41" s="146" t="str">
        <f>IFERROR(VLOOKUP($B$3,'מק"ט'!$B$2:$C$27,2,FALSE)&amp;VLOOKUP(H41,'מק"ט'!D:E,2,FALSE)&amp;VLOOKUP(E41,'מק"ט'!H:I,2,FALSE),"")</f>
        <v/>
      </c>
      <c r="E41" s="348" t="s">
        <v>82</v>
      </c>
      <c r="F41" s="349"/>
      <c r="G41" s="154"/>
      <c r="H41" s="150"/>
      <c r="I41" s="209"/>
      <c r="J41" s="212"/>
      <c r="K41" s="252">
        <f t="shared" si="6"/>
        <v>0</v>
      </c>
      <c r="L41" s="252" t="str">
        <f t="shared" si="7"/>
        <v/>
      </c>
      <c r="M41" s="385"/>
      <c r="N41" s="385"/>
      <c r="O41" s="249" t="str">
        <f>IF(OR(Q41,P41),IF(AND(VLOOKUP(E41,Таблица3345[[#All],[הוצאה]:[פירוט הוצאות]],3,FALSE)="כן",K41&gt;0),הגדרות!$B$18,הגדרות!$B$19),הגדרות!$B$21)</f>
        <v/>
      </c>
      <c r="P41" s="253" t="b">
        <f>AND(OR(ISBLANK(G41),G41=0),ISBLANK(H41),OR(ISBLANK(I41),I41=0),OR(ISBLANK(J41),J41=0))</f>
        <v>1</v>
      </c>
      <c r="Q41" s="253" t="b">
        <f>AND(G41&gt;0,H41&gt;0,I41&gt;0,J41&gt;0)</f>
        <v>0</v>
      </c>
      <c r="R41" s="253" t="str">
        <f>IF(O41=הגדרות!$B$21,הגדרות!$B$25,IF(AND(OR(תקציב!O41=הגדרות!$B$17,תקציב!O41=הגדרות!$B$18,תקציב!O41=הגדרות!$B$22),ISBLANK(תקציב!M41)),הגדרות!$B$25,הגדרות!$B$24))</f>
        <v>כן</v>
      </c>
      <c r="S41" s="254">
        <f>IF(R41=הגדרות!$B$24,1,-1)</f>
        <v>1</v>
      </c>
    </row>
    <row r="42" spans="2:19" ht="17.100000000000001" customHeight="1" x14ac:dyDescent="0.25">
      <c r="B42" s="382"/>
      <c r="C42" s="318"/>
      <c r="D42" s="146" t="str">
        <f>IFERROR(VLOOKUP($B$3,'מק"ט'!$B$2:$C$27,2,FALSE)&amp;VLOOKUP(H42,'מק"ט'!D:E,2,FALSE)&amp;VLOOKUP(E42,'מק"ט'!H:I,2,FALSE),"")</f>
        <v/>
      </c>
      <c r="E42" s="348" t="s">
        <v>83</v>
      </c>
      <c r="F42" s="349"/>
      <c r="G42" s="154"/>
      <c r="H42" s="150"/>
      <c r="I42" s="209"/>
      <c r="J42" s="212"/>
      <c r="K42" s="252">
        <f t="shared" si="6"/>
        <v>0</v>
      </c>
      <c r="L42" s="252" t="str">
        <f t="shared" si="7"/>
        <v/>
      </c>
      <c r="M42" s="385"/>
      <c r="N42" s="385"/>
      <c r="O42" s="249" t="str">
        <f>IF(OR(Q42,P42),IF(AND(VLOOKUP(E42,Таблица3345[[#All],[הוצאה]:[פירוט הוצאות]],3,FALSE)="כן",K42&gt;0),הגדרות!$B$18,הגדרות!$B$19),הגדרות!$B$21)</f>
        <v/>
      </c>
      <c r="P42" s="253" t="b">
        <f>AND(OR(ISBLANK(G42),G42=0),ISBLANK(H42),OR(ISBLANK(I42),I42=0),OR(ISBLANK(J42),J42=0))</f>
        <v>1</v>
      </c>
      <c r="Q42" s="253" t="b">
        <f>AND(G42&gt;0,H42&gt;0,I42&gt;0,J42&gt;0)</f>
        <v>0</v>
      </c>
      <c r="R42" s="253" t="str">
        <f>IF(O42=הגדרות!$B$21,הגדרות!$B$25,IF(AND(OR(תקציב!O42=הגדרות!$B$17,תקציב!O42=הגדרות!$B$18,תקציב!O42=הגדרות!$B$22),ISBLANK(תקציב!M42)),הגדרות!$B$25,הגדרות!$B$24))</f>
        <v>כן</v>
      </c>
      <c r="S42" s="254">
        <f>IF(R42=הגדרות!$B$24,1,-1)</f>
        <v>1</v>
      </c>
    </row>
    <row r="43" spans="2:19" ht="17.100000000000001" customHeight="1" x14ac:dyDescent="0.25">
      <c r="B43" s="382"/>
      <c r="C43" s="318"/>
      <c r="D43" s="146" t="str">
        <f>IFERROR(VLOOKUP($B$3,'מק"ט'!$B$2:$C$27,2,FALSE)&amp;VLOOKUP(H43,'מק"ט'!D:E,2,FALSE)&amp;VLOOKUP(E43,'מק"ט'!H:I,2,FALSE),"")</f>
        <v/>
      </c>
      <c r="E43" s="348" t="s">
        <v>88</v>
      </c>
      <c r="F43" s="349"/>
      <c r="G43" s="154"/>
      <c r="H43" s="150"/>
      <c r="I43" s="209"/>
      <c r="J43" s="212"/>
      <c r="K43" s="252">
        <f t="shared" si="6"/>
        <v>0</v>
      </c>
      <c r="L43" s="252" t="str">
        <f t="shared" si="7"/>
        <v/>
      </c>
      <c r="M43" s="385"/>
      <c r="N43" s="385"/>
      <c r="O43" s="249" t="str">
        <f>IF(OR(Q43,P43),IF(AND(VLOOKUP(E43,Таблица3345[[#All],[הוצאה]:[פירוט הוצאות]],3,FALSE)="כן",K43&gt;0),הגדרות!$B$18,הגדרות!$B$19),הגדרות!$B$21)</f>
        <v/>
      </c>
      <c r="P43" s="253" t="b">
        <f t="shared" ref="P43:P48" si="8">AND(OR(ISBLANK(G43),G43=0),ISBLANK(H43),OR(ISBLANK(I43),I43=0),OR(ISBLANK(J43),J43=0))</f>
        <v>1</v>
      </c>
      <c r="Q43" s="253" t="b">
        <f t="shared" ref="Q43:Q48" si="9">AND(G43&gt;0,H43&gt;0,I43&gt;0,J43&gt;0)</f>
        <v>0</v>
      </c>
      <c r="R43" s="253" t="str">
        <f>IF(O43=הגדרות!$B$21,הגדרות!$B$25,IF(AND(OR(תקציב!O43=הגדרות!$B$17,תקציב!O43=הגדרות!$B$18,תקציב!O43=הגדרות!$B$22),ISBLANK(תקציב!M43)),הגדרות!$B$25,הגדרות!$B$24))</f>
        <v>כן</v>
      </c>
      <c r="S43" s="254">
        <f>IF(R43=הגדרות!$B$24,1,-1)</f>
        <v>1</v>
      </c>
    </row>
    <row r="44" spans="2:19" ht="17.100000000000001" customHeight="1" x14ac:dyDescent="0.25">
      <c r="B44" s="382"/>
      <c r="C44" s="318"/>
      <c r="D44" s="146" t="str">
        <f>IFERROR(VLOOKUP($B$3,'מק"ט'!$B$2:$C$27,2,FALSE)&amp;VLOOKUP(H44,'מק"ט'!D:E,2,FALSE)&amp;VLOOKUP(E44,'מק"ט'!H:I,2,FALSE),"")</f>
        <v/>
      </c>
      <c r="E44" s="348" t="s">
        <v>89</v>
      </c>
      <c r="F44" s="349"/>
      <c r="G44" s="154"/>
      <c r="H44" s="150"/>
      <c r="I44" s="209"/>
      <c r="J44" s="212"/>
      <c r="K44" s="252">
        <f t="shared" si="6"/>
        <v>0</v>
      </c>
      <c r="L44" s="252" t="str">
        <f t="shared" si="7"/>
        <v/>
      </c>
      <c r="M44" s="385"/>
      <c r="N44" s="385"/>
      <c r="O44" s="249" t="str">
        <f>IF(OR(Q44,P44),IF(AND(VLOOKUP(E44,Таблица3345[[#All],[הוצאה]:[פירוט הוצאות]],3,FALSE)="כן",K44&gt;0),הגדרות!$B$18,הגדרות!$B$19),הגדרות!$B$21)</f>
        <v/>
      </c>
      <c r="P44" s="253" t="b">
        <f t="shared" si="8"/>
        <v>1</v>
      </c>
      <c r="Q44" s="253" t="b">
        <f t="shared" si="9"/>
        <v>0</v>
      </c>
      <c r="R44" s="253" t="str">
        <f>IF(O44=הגדרות!$B$21,הגדרות!$B$25,IF(AND(OR(תקציב!O44=הגדרות!$B$17,תקציב!O44=הגדרות!$B$18,תקציב!O44=הגדרות!$B$22),ISBLANK(תקציב!M44)),הגדרות!$B$25,הגדרות!$B$24))</f>
        <v>כן</v>
      </c>
      <c r="S44" s="254">
        <f>IF(R44=הגדרות!$B$24,1,-1)</f>
        <v>1</v>
      </c>
    </row>
    <row r="45" spans="2:19" ht="17.100000000000001" customHeight="1" x14ac:dyDescent="0.25">
      <c r="B45" s="382"/>
      <c r="C45" s="318"/>
      <c r="D45" s="146" t="str">
        <f>IFERROR(VLOOKUP($B$3,'מק"ט'!$B$2:$C$27,2,FALSE)&amp;VLOOKUP(H45,'מק"ט'!D:E,2,FALSE)&amp;VLOOKUP(E45,'מק"ט'!H:I,2,FALSE),"")</f>
        <v/>
      </c>
      <c r="E45" s="348" t="s">
        <v>90</v>
      </c>
      <c r="F45" s="349"/>
      <c r="G45" s="154"/>
      <c r="H45" s="150"/>
      <c r="I45" s="209"/>
      <c r="J45" s="212"/>
      <c r="K45" s="252">
        <f t="shared" si="6"/>
        <v>0</v>
      </c>
      <c r="L45" s="252" t="str">
        <f t="shared" si="7"/>
        <v/>
      </c>
      <c r="M45" s="385"/>
      <c r="N45" s="385"/>
      <c r="O45" s="249" t="str">
        <f>IF(OR(Q45,P45),IF(AND(VLOOKUP(E45,Таблица3345[[#All],[הוצאה]:[פירוט הוצאות]],3,FALSE)="כן",K45&gt;0),הגדרות!$B$18,הגדרות!$B$19),הגדרות!$B$21)</f>
        <v/>
      </c>
      <c r="P45" s="253" t="b">
        <f t="shared" si="8"/>
        <v>1</v>
      </c>
      <c r="Q45" s="253" t="b">
        <f t="shared" si="9"/>
        <v>0</v>
      </c>
      <c r="R45" s="253" t="str">
        <f>IF(O45=הגדרות!$B$21,הגדרות!$B$25,IF(AND(OR(תקציב!O45=הגדרות!$B$17,תקציב!O45=הגדרות!$B$18,תקציב!O45=הגדרות!$B$22),ISBLANK(תקציב!M45)),הגדרות!$B$25,הגדרות!$B$24))</f>
        <v>כן</v>
      </c>
      <c r="S45" s="254">
        <f>IF(R45=הגדרות!$B$24,1,-1)</f>
        <v>1</v>
      </c>
    </row>
    <row r="46" spans="2:19" ht="17.100000000000001" customHeight="1" x14ac:dyDescent="0.25">
      <c r="B46" s="382"/>
      <c r="C46" s="318"/>
      <c r="D46" s="146" t="str">
        <f>IFERROR(VLOOKUP($B$3,'מק"ט'!$B$2:$C$27,2,FALSE)&amp;VLOOKUP(H46,'מק"ט'!D:E,2,FALSE)&amp;VLOOKUP(E46,'מק"ט'!H:I,2,FALSE),"")</f>
        <v/>
      </c>
      <c r="E46" s="348" t="s">
        <v>91</v>
      </c>
      <c r="F46" s="349"/>
      <c r="G46" s="154"/>
      <c r="H46" s="150"/>
      <c r="I46" s="209"/>
      <c r="J46" s="212"/>
      <c r="K46" s="252">
        <f t="shared" si="6"/>
        <v>0</v>
      </c>
      <c r="L46" s="252" t="str">
        <f t="shared" si="7"/>
        <v/>
      </c>
      <c r="M46" s="385"/>
      <c r="N46" s="385"/>
      <c r="O46" s="249" t="str">
        <f>IF(OR(Q46,P46),IF(AND(VLOOKUP(E46,Таблица3345[[#All],[הוצאה]:[פירוט הוצאות]],3,FALSE)="כן",K46&gt;0),הגדרות!$B$18,הגדרות!$B$19),הגדרות!$B$21)</f>
        <v/>
      </c>
      <c r="P46" s="253" t="b">
        <f t="shared" si="8"/>
        <v>1</v>
      </c>
      <c r="Q46" s="253" t="b">
        <f t="shared" si="9"/>
        <v>0</v>
      </c>
      <c r="R46" s="253" t="str">
        <f>IF(O46=הגדרות!$B$21,הגדרות!$B$25,IF(AND(OR(תקציב!O46=הגדרות!$B$17,תקציב!O46=הגדרות!$B$18,תקציב!O46=הגדרות!$B$22),ISBLANK(תקציב!M46)),הגדרות!$B$25,הגדרות!$B$24))</f>
        <v>כן</v>
      </c>
      <c r="S46" s="254">
        <f>IF(R46=הגדרות!$B$24,1,-1)</f>
        <v>1</v>
      </c>
    </row>
    <row r="47" spans="2:19" ht="17.100000000000001" customHeight="1" x14ac:dyDescent="0.25">
      <c r="B47" s="382"/>
      <c r="C47" s="318"/>
      <c r="D47" s="146" t="str">
        <f>IFERROR(VLOOKUP($B$3,'מק"ט'!$B$2:$C$27,2,FALSE)&amp;VLOOKUP(H47,'מק"ט'!D:E,2,FALSE)&amp;VLOOKUP(E47,'מק"ט'!H:I,2,FALSE),"")</f>
        <v/>
      </c>
      <c r="E47" s="348" t="s">
        <v>92</v>
      </c>
      <c r="F47" s="349"/>
      <c r="G47" s="154"/>
      <c r="H47" s="150"/>
      <c r="I47" s="209"/>
      <c r="J47" s="212"/>
      <c r="K47" s="252">
        <f t="shared" si="6"/>
        <v>0</v>
      </c>
      <c r="L47" s="252" t="str">
        <f t="shared" si="7"/>
        <v/>
      </c>
      <c r="M47" s="385"/>
      <c r="N47" s="385"/>
      <c r="O47" s="249" t="str">
        <f>IF(OR(Q47,P47),IF(AND(VLOOKUP(E47,Таблица3345[[#All],[הוצאה]:[פירוט הוצאות]],3,FALSE)="כן",K47&gt;0),הגדרות!$B$18,הגדרות!$B$19),הגדרות!$B$21)</f>
        <v/>
      </c>
      <c r="P47" s="253" t="b">
        <f t="shared" si="8"/>
        <v>1</v>
      </c>
      <c r="Q47" s="253" t="b">
        <f t="shared" si="9"/>
        <v>0</v>
      </c>
      <c r="R47" s="253" t="str">
        <f>IF(O47=הגדרות!$B$21,הגדרות!$B$25,IF(AND(OR(תקציב!O47=הגדרות!$B$17,תקציב!O47=הגדרות!$B$18,תקציב!O47=הגדרות!$B$22),ISBLANK(תקציב!M47)),הגדרות!$B$25,הגדרות!$B$24))</f>
        <v>כן</v>
      </c>
      <c r="S47" s="254">
        <f>IF(R47=הגדרות!$B$24,1,-1)</f>
        <v>1</v>
      </c>
    </row>
    <row r="48" spans="2:19" ht="17.100000000000001" customHeight="1" x14ac:dyDescent="0.25">
      <c r="B48" s="382"/>
      <c r="C48" s="318"/>
      <c r="D48" s="146" t="str">
        <f>IFERROR(VLOOKUP($B$3,'מק"ט'!$B$2:$C$27,2,FALSE)&amp;VLOOKUP(H48,'מק"ט'!D:E,2,FALSE)&amp;VLOOKUP(E48,'מק"ט'!H:I,2,FALSE),"")</f>
        <v/>
      </c>
      <c r="E48" s="348" t="s">
        <v>93</v>
      </c>
      <c r="F48" s="349"/>
      <c r="G48" s="154"/>
      <c r="H48" s="150"/>
      <c r="I48" s="209"/>
      <c r="J48" s="212"/>
      <c r="K48" s="252">
        <f t="shared" si="6"/>
        <v>0</v>
      </c>
      <c r="L48" s="252" t="str">
        <f t="shared" si="7"/>
        <v/>
      </c>
      <c r="M48" s="385"/>
      <c r="N48" s="385"/>
      <c r="O48" s="249" t="str">
        <f>IF(OR(Q48,P48),IF(AND(VLOOKUP(E48,Таблица3345[[#All],[הוצאה]:[פירוט הוצאות]],3,FALSE)="כן",K48&gt;0),הגדרות!$B$18,הגדרות!$B$19),הגדרות!$B$21)</f>
        <v/>
      </c>
      <c r="P48" s="253" t="b">
        <f t="shared" si="8"/>
        <v>1</v>
      </c>
      <c r="Q48" s="253" t="b">
        <f t="shared" si="9"/>
        <v>0</v>
      </c>
      <c r="R48" s="253" t="str">
        <f>IF(O48=הגדרות!$B$21,הגדרות!$B$25,IF(AND(OR(תקציב!O48=הגדרות!$B$17,תקציב!O48=הגדרות!$B$18,תקציב!O48=הגדרות!$B$22),ISBLANK(תקציב!M48)),הגדרות!$B$25,הגדרות!$B$24))</f>
        <v>כן</v>
      </c>
      <c r="S48" s="254">
        <f>IF(R48=הגדרות!$B$24,1,-1)</f>
        <v>1</v>
      </c>
    </row>
    <row r="49" spans="2:19" ht="17.100000000000001" customHeight="1" x14ac:dyDescent="0.25">
      <c r="B49" s="382"/>
      <c r="C49" s="318"/>
      <c r="D49" s="146" t="str">
        <f>IFERROR(VLOOKUP($B$3,'מק"ט'!$B$2:$C$27,2,FALSE)&amp;VLOOKUP(H49,'מק"ט'!D:E,2,FALSE)&amp;VLOOKUP(E49,'מק"ט'!H:I,2,FALSE),"")</f>
        <v/>
      </c>
      <c r="E49" s="348" t="s">
        <v>94</v>
      </c>
      <c r="F49" s="349"/>
      <c r="G49" s="155" t="s">
        <v>78</v>
      </c>
      <c r="H49" s="150"/>
      <c r="I49" s="209"/>
      <c r="J49" s="212"/>
      <c r="K49" s="252">
        <f t="shared" si="6"/>
        <v>0</v>
      </c>
      <c r="L49" s="252" t="str">
        <f t="shared" si="7"/>
        <v/>
      </c>
      <c r="M49" s="385"/>
      <c r="N49" s="385"/>
      <c r="O49" s="249" t="str">
        <f>IF(OR(Q49,P49),IF(AND(VLOOKUP(E49,Таблица3345[[#All],[הוצאה]:[פירוט הוצאות]],3,FALSE)="כן",K49&gt;0),הגדרות!$B$18,הגדרות!$B$19),הגדרות!$B$21)</f>
        <v/>
      </c>
      <c r="P49" s="253" t="b">
        <f t="shared" ref="P49:P52" si="10">AND(ISBLANK(H49),OR(ISBLANK(I49),I49=0),OR(ISBLANK(J49),J49=0))</f>
        <v>1</v>
      </c>
      <c r="Q49" s="253" t="b">
        <f t="shared" ref="Q49:Q52" si="11">AND(H49&gt;0,I49&gt;0,J49&gt;0)</f>
        <v>0</v>
      </c>
      <c r="R49" s="253" t="str">
        <f>IF(O49=הגדרות!$B$21,הגדרות!$B$25,IF(AND(OR(תקציב!O49=הגדרות!$B$17,תקציב!O49=הגדרות!$B$18,תקציב!O49=הגדרות!$B$22),ISBLANK(תקציב!M49)),הגדרות!$B$25,הגדרות!$B$24))</f>
        <v>כן</v>
      </c>
      <c r="S49" s="254">
        <f>IF(R49=הגדרות!$B$24,1,-1)</f>
        <v>1</v>
      </c>
    </row>
    <row r="50" spans="2:19" ht="17.100000000000001" customHeight="1" x14ac:dyDescent="0.25">
      <c r="B50" s="382"/>
      <c r="C50" s="318"/>
      <c r="D50" s="146" t="str">
        <f>IFERROR(VLOOKUP($B$3,'מק"ט'!$B$2:$C$27,2,FALSE)&amp;VLOOKUP(H50,'מק"ט'!D:E,2,FALSE)&amp;VLOOKUP(E50,'מק"ט'!H:I,2,FALSE),"")</f>
        <v/>
      </c>
      <c r="E50" s="348" t="s">
        <v>472</v>
      </c>
      <c r="F50" s="349"/>
      <c r="G50" s="155" t="s">
        <v>78</v>
      </c>
      <c r="H50" s="150"/>
      <c r="I50" s="209"/>
      <c r="J50" s="212"/>
      <c r="K50" s="252">
        <f t="shared" si="6"/>
        <v>0</v>
      </c>
      <c r="L50" s="252" t="str">
        <f t="shared" si="7"/>
        <v/>
      </c>
      <c r="M50" s="385"/>
      <c r="N50" s="385"/>
      <c r="O50" s="249" t="str">
        <f>IF(OR(Q50,P50),IF(AND(VLOOKUP(E50,Таблица3345[[#All],[הוצאה]:[פירוט הוצאות]],3,FALSE)="כן",K50&gt;0),הגדרות!$B$18,הגדרות!$B$19),הגדרות!$B$21)</f>
        <v/>
      </c>
      <c r="P50" s="253" t="b">
        <f t="shared" si="10"/>
        <v>1</v>
      </c>
      <c r="Q50" s="253" t="b">
        <f t="shared" si="11"/>
        <v>0</v>
      </c>
      <c r="R50" s="253" t="str">
        <f>IF(O50=הגדרות!$B$21,הגדרות!$B$25,IF(AND(OR(תקציב!O50=הגדרות!$B$17,תקציב!O50=הגדרות!$B$18,תקציב!O50=הגדרות!$B$22),ISBLANK(תקציב!M50)),הגדרות!$B$25,הגדרות!$B$24))</f>
        <v>כן</v>
      </c>
      <c r="S50" s="254">
        <f>IF(R50=הגדרות!$B$24,1,-1)</f>
        <v>1</v>
      </c>
    </row>
    <row r="51" spans="2:19" ht="17.100000000000001" customHeight="1" x14ac:dyDescent="0.25">
      <c r="B51" s="382"/>
      <c r="C51" s="318"/>
      <c r="D51" s="146" t="str">
        <f>IFERROR(VLOOKUP($B$3,'מק"ט'!$B$2:$C$27,2,FALSE)&amp;VLOOKUP(H51,'מק"ט'!D:E,2,FALSE)&amp;VLOOKUP(E51,'מק"ט'!H:I,2,FALSE),"")</f>
        <v/>
      </c>
      <c r="E51" s="348" t="s">
        <v>472</v>
      </c>
      <c r="F51" s="349"/>
      <c r="G51" s="155" t="s">
        <v>78</v>
      </c>
      <c r="H51" s="150"/>
      <c r="I51" s="209"/>
      <c r="J51" s="212"/>
      <c r="K51" s="252">
        <f t="shared" si="6"/>
        <v>0</v>
      </c>
      <c r="L51" s="252" t="str">
        <f t="shared" si="7"/>
        <v/>
      </c>
      <c r="M51" s="385"/>
      <c r="N51" s="385"/>
      <c r="O51" s="249" t="str">
        <f>IF(OR(Q51,P51),IF(AND(VLOOKUP(E51,Таблица3345[[#All],[הוצאה]:[פירוט הוצאות]],3,FALSE)="כן",K51&gt;0),הגדרות!$B$18,הגדרות!$B$19),הגדרות!$B$21)</f>
        <v/>
      </c>
      <c r="P51" s="253" t="b">
        <f t="shared" si="10"/>
        <v>1</v>
      </c>
      <c r="Q51" s="253" t="b">
        <f t="shared" si="11"/>
        <v>0</v>
      </c>
      <c r="R51" s="253" t="str">
        <f>IF(O51=הגדרות!$B$21,הגדרות!$B$25,IF(AND(OR(תקציב!O51=הגדרות!$B$17,תקציב!O51=הגדרות!$B$18,תקציב!O51=הגדרות!$B$22),ISBLANK(תקציב!M51)),הגדרות!$B$25,הגדרות!$B$24))</f>
        <v>כן</v>
      </c>
      <c r="S51" s="254">
        <f>IF(R51=הגדרות!$B$24,1,-1)</f>
        <v>1</v>
      </c>
    </row>
    <row r="52" spans="2:19" ht="17.100000000000001" customHeight="1" thickBot="1" x14ac:dyDescent="0.3">
      <c r="B52" s="382"/>
      <c r="C52" s="318"/>
      <c r="D52" s="146" t="str">
        <f>IFERROR(VLOOKUP($B$3,'מק"ט'!$B$2:$C$27,2,FALSE)&amp;VLOOKUP(H52,'מק"ט'!D:E,2,FALSE)&amp;VLOOKUP(E52,'מק"ט'!H:I,2,FALSE),"")</f>
        <v/>
      </c>
      <c r="E52" s="362" t="s">
        <v>472</v>
      </c>
      <c r="F52" s="363"/>
      <c r="G52" s="155" t="s">
        <v>78</v>
      </c>
      <c r="H52" s="150"/>
      <c r="I52" s="209"/>
      <c r="J52" s="212"/>
      <c r="K52" s="252">
        <f t="shared" si="6"/>
        <v>0</v>
      </c>
      <c r="L52" s="252" t="str">
        <f t="shared" si="7"/>
        <v/>
      </c>
      <c r="M52" s="385"/>
      <c r="N52" s="385"/>
      <c r="O52" s="249" t="str">
        <f>IF(OR(Q52,P52),IF(AND(VLOOKUP(E52,Таблица3345[[#All],[הוצאה]:[פירוט הוצאות]],3,FALSE)="כן",K52&gt;0),הגדרות!$B$18,הגדרות!$B$19),הגדרות!$B$21)</f>
        <v/>
      </c>
      <c r="P52" s="253" t="b">
        <f t="shared" si="10"/>
        <v>1</v>
      </c>
      <c r="Q52" s="253" t="b">
        <f t="shared" si="11"/>
        <v>0</v>
      </c>
      <c r="R52" s="253" t="str">
        <f>IF(O52=הגדרות!$B$21,הגדרות!$B$25,IF(AND(OR(תקציב!O52=הגדרות!$B$17,תקציב!O52=הגדרות!$B$18,תקציב!O52=הגדרות!$B$22),ISBLANK(תקציב!M52)),הגדרות!$B$25,הגדרות!$B$24))</f>
        <v>כן</v>
      </c>
      <c r="S52" s="254">
        <f>IF(R52=הגדרות!$B$24,1,-1)</f>
        <v>1</v>
      </c>
    </row>
    <row r="53" spans="2:19" ht="18.75" thickBot="1" x14ac:dyDescent="0.25">
      <c r="B53" s="164"/>
      <c r="C53" s="148"/>
      <c r="D53" s="148"/>
      <c r="E53" s="336" t="s">
        <v>98</v>
      </c>
      <c r="F53" s="337"/>
      <c r="G53" s="164"/>
      <c r="H53" s="148"/>
      <c r="I53" s="148"/>
      <c r="J53" s="257"/>
      <c r="K53" s="266">
        <f>SUM(K39:K52)</f>
        <v>0</v>
      </c>
      <c r="L53" s="266">
        <f>SUM(L39:L52)</f>
        <v>0</v>
      </c>
      <c r="M53" s="289"/>
      <c r="N53" s="289"/>
      <c r="O53" s="243"/>
      <c r="P53" s="148"/>
      <c r="Q53" s="148"/>
      <c r="R53" s="148"/>
      <c r="S53" s="258"/>
    </row>
    <row r="54" spans="2:19" ht="17.100000000000001" customHeight="1" x14ac:dyDescent="0.25">
      <c r="B54" s="382" t="s">
        <v>505</v>
      </c>
      <c r="C54" s="318"/>
      <c r="D54" s="146" t="str">
        <f>IFERROR(VLOOKUP($B$3,'מק"ט'!$B$2:$C$27,2,FALSE)&amp;VLOOKUP(H54,'מק"ט'!D:E,2,FALSE)&amp;VLOOKUP(E54,'מק"ט'!H:I,2,FALSE),"")</f>
        <v/>
      </c>
      <c r="E54" s="348" t="s">
        <v>263</v>
      </c>
      <c r="F54" s="349"/>
      <c r="G54" s="154"/>
      <c r="H54" s="150"/>
      <c r="I54" s="209"/>
      <c r="J54" s="212"/>
      <c r="K54" s="252">
        <f t="shared" ref="K54:K66" si="12">IF(G54="-",I54*J54,G54*I54*J54)</f>
        <v>0</v>
      </c>
      <c r="L54" s="252" t="str">
        <f t="shared" ref="L54:L66" si="13">IFERROR(K54/$D$7,"")</f>
        <v/>
      </c>
      <c r="M54" s="385"/>
      <c r="N54" s="385"/>
      <c r="O54" s="249" t="str">
        <f>IF(OR(Q54,P54),IF(AND(VLOOKUP(E54,Таблица3345[[#All],[הוצאה]:[פירוט הוצאות]],3,FALSE)="כן",K54&gt;0),הגדרות!$B$18,הגדרות!$B$19),הגדרות!$B$21)</f>
        <v/>
      </c>
      <c r="P54" s="253" t="b">
        <f>AND(OR(ISBLANK(G54),G54=0),ISBLANK(H54),OR(ISBLANK(I54),I54=0),OR(ISBLANK(J54),J54=0))</f>
        <v>1</v>
      </c>
      <c r="Q54" s="253" t="b">
        <f>AND(G54&gt;0,H54&gt;0,I54&gt;0,J54&gt;0)</f>
        <v>0</v>
      </c>
      <c r="R54" s="253" t="str">
        <f>IF(O54=הגדרות!$B$21,הגדרות!$B$25,IF(AND(OR(תקציב!O54=הגדרות!$B$17,תקציב!O54=הגדרות!$B$18,תקציב!O54=הגדרות!$B$22),ISBLANK(תקציב!M54)),הגדרות!$B$25,הגדרות!$B$24))</f>
        <v>כן</v>
      </c>
      <c r="S54" s="254">
        <f>IF(R54=הגדרות!$B$24,1,-1)</f>
        <v>1</v>
      </c>
    </row>
    <row r="55" spans="2:19" ht="17.100000000000001" customHeight="1" x14ac:dyDescent="0.25">
      <c r="B55" s="382"/>
      <c r="C55" s="318"/>
      <c r="D55" s="146" t="str">
        <f>IFERROR(VLOOKUP($B$3,'מק"ט'!$B$2:$C$27,2,FALSE)&amp;VLOOKUP(H55,'מק"ט'!D:E,2,FALSE)&amp;VLOOKUP(E55,'מק"ט'!H:I,2,FALSE),"")</f>
        <v/>
      </c>
      <c r="E55" s="348" t="s">
        <v>482</v>
      </c>
      <c r="F55" s="349"/>
      <c r="G55" s="154"/>
      <c r="H55" s="150"/>
      <c r="I55" s="209"/>
      <c r="J55" s="212"/>
      <c r="K55" s="252">
        <f t="shared" si="12"/>
        <v>0</v>
      </c>
      <c r="L55" s="252" t="str">
        <f t="shared" si="13"/>
        <v/>
      </c>
      <c r="M55" s="385"/>
      <c r="N55" s="385"/>
      <c r="O55" s="249" t="str">
        <f>IF(OR(Q55,P55),IF(AND(VLOOKUP(E55,Таблица3345[[#All],[הוצאה]:[פירוט הוצאות]],3,FALSE)="כן",K55&gt;0),הגדרות!$B$18,הגדרות!$B$19),הגדרות!$B$21)</f>
        <v/>
      </c>
      <c r="P55" s="253" t="b">
        <f>AND(OR(ISBLANK(G55),G55=0),ISBLANK(H55),OR(ISBLANK(I55),I55=0),OR(ISBLANK(J55),J55=0))</f>
        <v>1</v>
      </c>
      <c r="Q55" s="253" t="b">
        <f>AND(G55&gt;0,H55&gt;0,I55&gt;0,J55&gt;0)</f>
        <v>0</v>
      </c>
      <c r="R55" s="253" t="str">
        <f>IF(O55=הגדרות!$B$21,הגדרות!$B$25,IF(AND(OR(תקציב!O55=הגדרות!$B$17,תקציב!O55=הגדרות!$B$18,תקציב!O55=הגדרות!$B$22),ISBLANK(תקציב!M55)),הגדרות!$B$25,הגדרות!$B$24))</f>
        <v>כן</v>
      </c>
      <c r="S55" s="254">
        <f>IF(R55=הגדרות!$B$24,1,-1)</f>
        <v>1</v>
      </c>
    </row>
    <row r="56" spans="2:19" ht="17.100000000000001" customHeight="1" x14ac:dyDescent="0.25">
      <c r="B56" s="382"/>
      <c r="C56" s="318"/>
      <c r="D56" s="146" t="str">
        <f>IFERROR(VLOOKUP($B$3,'מק"ט'!$B$2:$C$27,2,FALSE)&amp;VLOOKUP(H56,'מק"ט'!D:E,2,FALSE)&amp;VLOOKUP(E56,'מק"ט'!H:I,2,FALSE),"")</f>
        <v/>
      </c>
      <c r="E56" s="348" t="s">
        <v>105</v>
      </c>
      <c r="F56" s="349"/>
      <c r="G56" s="155" t="s">
        <v>78</v>
      </c>
      <c r="H56" s="150"/>
      <c r="I56" s="209"/>
      <c r="J56" s="212"/>
      <c r="K56" s="252">
        <f t="shared" si="12"/>
        <v>0</v>
      </c>
      <c r="L56" s="252" t="str">
        <f t="shared" si="13"/>
        <v/>
      </c>
      <c r="M56" s="385"/>
      <c r="N56" s="385"/>
      <c r="O56" s="249" t="str">
        <f>IF(OR(Q56,P56),IF(AND(VLOOKUP(E56,Таблица3345[[#All],[הוצאה]:[פירוט הוצאות]],3,FALSE)="כן",K56&gt;0),הגדרות!$B$18,הגדרות!$B$19),הגדרות!$B$21)</f>
        <v/>
      </c>
      <c r="P56" s="253" t="b">
        <f>AND(ISBLANK(H56),OR(ISBLANK(I56),I56=0),OR(ISBLANK(J56),J56=0))</f>
        <v>1</v>
      </c>
      <c r="Q56" s="253" t="b">
        <f>AND(H56&gt;0,I56&gt;0,J56&gt;0)</f>
        <v>0</v>
      </c>
      <c r="R56" s="253" t="str">
        <f>IF(O56=הגדרות!$B$21,הגדרות!$B$25,IF(AND(OR(תקציב!O56=הגדרות!$B$17,תקציב!O56=הגדרות!$B$18,תקציב!O56=הגדרות!$B$22),ISBLANK(תקציב!M56)),הגדרות!$B$25,הגדרות!$B$24))</f>
        <v>כן</v>
      </c>
      <c r="S56" s="254">
        <f>IF(R56=הגדרות!$B$24,1,-1)</f>
        <v>1</v>
      </c>
    </row>
    <row r="57" spans="2:19" ht="17.100000000000001" customHeight="1" x14ac:dyDescent="0.25">
      <c r="B57" s="382"/>
      <c r="C57" s="318"/>
      <c r="D57" s="146" t="str">
        <f>IFERROR(VLOOKUP($B$3,'מק"ט'!$B$2:$C$27,2,FALSE)&amp;VLOOKUP(H57,'מק"ט'!D:E,2,FALSE)&amp;VLOOKUP(E57,'מק"ט'!H:I,2,FALSE),"")</f>
        <v/>
      </c>
      <c r="E57" s="348" t="s">
        <v>512</v>
      </c>
      <c r="F57" s="349"/>
      <c r="G57" s="154"/>
      <c r="H57" s="150"/>
      <c r="I57" s="209"/>
      <c r="J57" s="212"/>
      <c r="K57" s="252">
        <f t="shared" si="12"/>
        <v>0</v>
      </c>
      <c r="L57" s="252" t="str">
        <f t="shared" si="13"/>
        <v/>
      </c>
      <c r="M57" s="385"/>
      <c r="N57" s="385"/>
      <c r="O57" s="249" t="str">
        <f>IF(OR(Q57,P57),IF(AND(VLOOKUP(E57,Таблица3345[[#All],[הוצאה]:[פירוט הוצאות]],3,FALSE)="כן",K57&gt;0),הגדרות!$B$18,הגדרות!$B$19),הגדרות!$B$21)</f>
        <v/>
      </c>
      <c r="P57" s="253" t="b">
        <f>AND(OR(ISBLANK(G57),G57=0),ISBLANK(H57),OR(ISBLANK(I57),I57=0),OR(ISBLANK(J57),J57=0))</f>
        <v>1</v>
      </c>
      <c r="Q57" s="253" t="b">
        <f>AND(G57&gt;0,H57&gt;0,I57&gt;0,J57&gt;0)</f>
        <v>0</v>
      </c>
      <c r="R57" s="253" t="str">
        <f>IF(O57=הגדרות!$B$21,הגדרות!$B$25,IF(AND(OR(תקציב!O57=הגדרות!$B$17,תקציב!O57=הגדרות!$B$18,תקציב!O57=הגדרות!$B$22),ISBLANK(תקציב!M57)),הגדרות!$B$25,הגדרות!$B$24))</f>
        <v>כן</v>
      </c>
      <c r="S57" s="254">
        <f>IF(R57=הגדרות!$B$24,1,-1)</f>
        <v>1</v>
      </c>
    </row>
    <row r="58" spans="2:19" ht="17.100000000000001" customHeight="1" x14ac:dyDescent="0.25">
      <c r="B58" s="382"/>
      <c r="C58" s="318"/>
      <c r="D58" s="146" t="str">
        <f>IFERROR(VLOOKUP($B$3,'מק"ט'!$B$2:$C$27,2,FALSE)&amp;VLOOKUP(H58,'מק"ט'!D:E,2,FALSE)&amp;VLOOKUP(E58,'מק"ט'!H:I,2,FALSE),"")</f>
        <v/>
      </c>
      <c r="E58" s="348" t="s">
        <v>513</v>
      </c>
      <c r="F58" s="349"/>
      <c r="G58" s="154"/>
      <c r="H58" s="150"/>
      <c r="I58" s="209"/>
      <c r="J58" s="212"/>
      <c r="K58" s="252">
        <f t="shared" si="12"/>
        <v>0</v>
      </c>
      <c r="L58" s="252" t="str">
        <f t="shared" si="13"/>
        <v/>
      </c>
      <c r="M58" s="385"/>
      <c r="N58" s="385"/>
      <c r="O58" s="249" t="str">
        <f>IF(OR(Q58,P58),IF(AND(VLOOKUP(E58,Таблица3345[[#All],[הוצאה]:[פירוט הוצאות]],3,FALSE)="כן",K58&gt;0),הגדרות!$B$18,הגדרות!$B$19),הגדרות!$B$21)</f>
        <v/>
      </c>
      <c r="P58" s="253" t="b">
        <f>AND(OR(ISBLANK(G58),G58=0),ISBLANK(H58),OR(ISBLANK(I58),I58=0),OR(ISBLANK(J58),J58=0))</f>
        <v>1</v>
      </c>
      <c r="Q58" s="253" t="b">
        <f>AND(G58&gt;0,H58&gt;0,I58&gt;0,J58&gt;0)</f>
        <v>0</v>
      </c>
      <c r="R58" s="253" t="str">
        <f>IF(O58=הגדרות!$B$21,הגדרות!$B$25,IF(AND(OR(תקציב!O58=הגדרות!$B$17,תקציב!O58=הגדרות!$B$18,תקציב!O58=הגדרות!$B$22),ISBLANK(תקציב!M58)),הגדרות!$B$25,הגדרות!$B$24))</f>
        <v>כן</v>
      </c>
      <c r="S58" s="254">
        <f>IF(R58=הגדרות!$B$24,1,-1)</f>
        <v>1</v>
      </c>
    </row>
    <row r="59" spans="2:19" ht="17.100000000000001" customHeight="1" x14ac:dyDescent="0.25">
      <c r="B59" s="382"/>
      <c r="C59" s="318"/>
      <c r="D59" s="146" t="str">
        <f>IFERROR(VLOOKUP($B$3,'מק"ט'!$B$2:$C$27,2,FALSE)&amp;VLOOKUP(H59,'מק"ט'!D:E,2,FALSE)&amp;VLOOKUP(E59,'מק"ט'!H:I,2,FALSE),"")</f>
        <v/>
      </c>
      <c r="E59" s="348" t="s">
        <v>223</v>
      </c>
      <c r="F59" s="349"/>
      <c r="G59" s="155" t="s">
        <v>78</v>
      </c>
      <c r="H59" s="150"/>
      <c r="I59" s="209"/>
      <c r="J59" s="212"/>
      <c r="K59" s="252">
        <f t="shared" si="12"/>
        <v>0</v>
      </c>
      <c r="L59" s="252" t="str">
        <f t="shared" si="13"/>
        <v/>
      </c>
      <c r="M59" s="385"/>
      <c r="N59" s="385"/>
      <c r="O59" s="249" t="str">
        <f>IF(OR(Q59,P59),IF(AND(VLOOKUP(E59,Таблица3345[[#All],[הוצאה]:[פירוט הוצאות]],3,FALSE)="כן",K59&gt;0),הגדרות!$B$18,הגדרות!$B$19),הגדרות!$B$21)</f>
        <v/>
      </c>
      <c r="P59" s="253" t="b">
        <f>AND(ISBLANK(H59),OR(ISBLANK(I59),I59=0),OR(ISBLANK(J59),J59=0))</f>
        <v>1</v>
      </c>
      <c r="Q59" s="253" t="b">
        <f>AND(H59&gt;0,I59&gt;0,J59&gt;0)</f>
        <v>0</v>
      </c>
      <c r="R59" s="253" t="str">
        <f>IF(O59=הגדרות!$B$21,הגדרות!$B$25,IF(AND(OR(תקציב!O59=הגדרות!$B$17,תקציב!O59=הגדרות!$B$18,תקציב!O59=הגדרות!$B$22),ISBLANK(תקציב!M59)),הגדרות!$B$25,הגדרות!$B$24))</f>
        <v>כן</v>
      </c>
      <c r="S59" s="254">
        <f>IF(R59=הגדרות!$B$24,1,-1)</f>
        <v>1</v>
      </c>
    </row>
    <row r="60" spans="2:19" ht="17.100000000000001" customHeight="1" x14ac:dyDescent="0.25">
      <c r="B60" s="382"/>
      <c r="C60" s="318"/>
      <c r="D60" s="146" t="str">
        <f>IFERROR(VLOOKUP($B$3,'מק"ט'!$B$2:$C$27,2,FALSE)&amp;VLOOKUP(H60,'מק"ט'!D:E,2,FALSE)&amp;VLOOKUP(E60,'מק"ט'!H:I,2,FALSE),"")</f>
        <v/>
      </c>
      <c r="E60" s="348" t="s">
        <v>514</v>
      </c>
      <c r="F60" s="349"/>
      <c r="G60" s="154"/>
      <c r="H60" s="150"/>
      <c r="I60" s="209"/>
      <c r="J60" s="212"/>
      <c r="K60" s="252">
        <f t="shared" si="12"/>
        <v>0</v>
      </c>
      <c r="L60" s="252" t="str">
        <f t="shared" si="13"/>
        <v/>
      </c>
      <c r="M60" s="385"/>
      <c r="N60" s="385"/>
      <c r="O60" s="249" t="str">
        <f>IF(OR(Q60,P60),IF(AND(VLOOKUP(E60,Таблица3345[[#All],[הוצאה]:[פירוט הוצאות]],3,FALSE)="כן",K60&gt;0),הגדרות!$B$18,הגדרות!$B$19),הגדרות!$B$21)</f>
        <v/>
      </c>
      <c r="P60" s="253" t="b">
        <f t="shared" ref="P60:P66" si="14">AND(OR(ISBLANK(G60),G60=0),ISBLANK(H60),OR(ISBLANK(I60),I60=0),OR(ISBLANK(J60),J60=0))</f>
        <v>1</v>
      </c>
      <c r="Q60" s="253" t="b">
        <f t="shared" ref="Q60:Q66" si="15">AND(G60&gt;0,H60&gt;0,I60&gt;0,J60&gt;0)</f>
        <v>0</v>
      </c>
      <c r="R60" s="253" t="str">
        <f>IF(O60=הגדרות!$B$21,הגדרות!$B$25,IF(AND(OR(תקציב!O60=הגדרות!$B$17,תקציב!O60=הגדרות!$B$18,תקציב!O60=הגדרות!$B$22),ISBLANK(תקציב!M60)),הגדרות!$B$25,הגדרות!$B$24))</f>
        <v>כן</v>
      </c>
      <c r="S60" s="254">
        <f>IF(R60=הגדרות!$B$24,1,-1)</f>
        <v>1</v>
      </c>
    </row>
    <row r="61" spans="2:19" ht="17.100000000000001" customHeight="1" x14ac:dyDescent="0.25">
      <c r="B61" s="382"/>
      <c r="C61" s="318"/>
      <c r="D61" s="146" t="str">
        <f>IFERROR(VLOOKUP($B$3,'מק"ט'!$B$2:$C$27,2,FALSE)&amp;VLOOKUP(H61,'מק"ט'!D:E,2,FALSE)&amp;VLOOKUP(E61,'מק"ט'!H:I,2,FALSE),"")</f>
        <v/>
      </c>
      <c r="E61" s="348" t="s">
        <v>515</v>
      </c>
      <c r="F61" s="349"/>
      <c r="G61" s="154"/>
      <c r="H61" s="150"/>
      <c r="I61" s="209"/>
      <c r="J61" s="212"/>
      <c r="K61" s="252">
        <f t="shared" si="12"/>
        <v>0</v>
      </c>
      <c r="L61" s="252" t="str">
        <f t="shared" si="13"/>
        <v/>
      </c>
      <c r="M61" s="385"/>
      <c r="N61" s="385"/>
      <c r="O61" s="249" t="str">
        <f>IF(OR(Q61,P61),IF(AND(VLOOKUP(E61,Таблица3345[[#All],[הוצאה]:[פירוט הוצאות]],3,FALSE)="כן",K61&gt;0),הגדרות!$B$18,הגדרות!$B$19),הגדרות!$B$21)</f>
        <v/>
      </c>
      <c r="P61" s="253" t="b">
        <f t="shared" si="14"/>
        <v>1</v>
      </c>
      <c r="Q61" s="253" t="b">
        <f t="shared" si="15"/>
        <v>0</v>
      </c>
      <c r="R61" s="253" t="str">
        <f>IF(O61=הגדרות!$B$21,הגדרות!$B$25,IF(AND(OR(תקציב!O61=הגדרות!$B$17,תקציב!O61=הגדרות!$B$18,תקציב!O61=הגדרות!$B$22),ISBLANK(תקציב!M61)),הגדרות!$B$25,הגדרות!$B$24))</f>
        <v>כן</v>
      </c>
      <c r="S61" s="254">
        <f>IF(R61=הגדרות!$B$24,1,-1)</f>
        <v>1</v>
      </c>
    </row>
    <row r="62" spans="2:19" ht="17.100000000000001" customHeight="1" x14ac:dyDescent="0.25">
      <c r="B62" s="382"/>
      <c r="C62" s="318"/>
      <c r="D62" s="146" t="str">
        <f>IFERROR(VLOOKUP($B$3,'מק"ט'!$B$2:$C$27,2,FALSE)&amp;VLOOKUP(H62,'מק"ט'!D:E,2,FALSE)&amp;VLOOKUP(E62,'מק"ט'!H:I,2,FALSE),"")</f>
        <v/>
      </c>
      <c r="E62" s="348" t="s">
        <v>86</v>
      </c>
      <c r="F62" s="349"/>
      <c r="G62" s="154"/>
      <c r="H62" s="150"/>
      <c r="I62" s="209"/>
      <c r="J62" s="212"/>
      <c r="K62" s="252">
        <f t="shared" si="12"/>
        <v>0</v>
      </c>
      <c r="L62" s="252" t="str">
        <f t="shared" si="13"/>
        <v/>
      </c>
      <c r="M62" s="385"/>
      <c r="N62" s="385"/>
      <c r="O62" s="249" t="str">
        <f>IF(OR(Q62,P62),IF(AND(VLOOKUP(E62,Таблица3345[[#All],[הוצאה]:[פירוט הוצאות]],3,FALSE)="כן",K62&gt;0),הגדרות!$B$18,הגדרות!$B$19),הגדרות!$B$21)</f>
        <v/>
      </c>
      <c r="P62" s="253" t="b">
        <f t="shared" si="14"/>
        <v>1</v>
      </c>
      <c r="Q62" s="253" t="b">
        <f t="shared" si="15"/>
        <v>0</v>
      </c>
      <c r="R62" s="253" t="str">
        <f>IF(O62=הגדרות!$B$21,הגדרות!$B$25,IF(AND(OR(תקציב!O62=הגדרות!$B$17,תקציב!O62=הגדרות!$B$18,תקציב!O62=הגדרות!$B$22),ISBLANK(תקציב!M62)),הגדרות!$B$25,הגדרות!$B$24))</f>
        <v>כן</v>
      </c>
      <c r="S62" s="254">
        <f>IF(R62=הגדרות!$B$24,1,-1)</f>
        <v>1</v>
      </c>
    </row>
    <row r="63" spans="2:19" ht="17.100000000000001" customHeight="1" x14ac:dyDescent="0.25">
      <c r="B63" s="382"/>
      <c r="C63" s="318"/>
      <c r="D63" s="146" t="str">
        <f>IFERROR(VLOOKUP($B$3,'מק"ט'!$B$2:$C$27,2,FALSE)&amp;VLOOKUP(H63,'מק"ט'!D:E,2,FALSE)&amp;VLOOKUP(E63,'מק"ט'!H:I,2,FALSE),"")</f>
        <v/>
      </c>
      <c r="E63" s="348" t="s">
        <v>264</v>
      </c>
      <c r="F63" s="349"/>
      <c r="G63" s="154"/>
      <c r="H63" s="150"/>
      <c r="I63" s="209"/>
      <c r="J63" s="212"/>
      <c r="K63" s="252">
        <f t="shared" si="12"/>
        <v>0</v>
      </c>
      <c r="L63" s="252" t="str">
        <f t="shared" si="13"/>
        <v/>
      </c>
      <c r="M63" s="385"/>
      <c r="N63" s="385"/>
      <c r="O63" s="249" t="str">
        <f>IF(OR(Q63,P63),IF(AND(VLOOKUP(E63,Таблица3345[[#All],[הוצאה]:[פירוט הוצאות]],3,FALSE)="כן",K63&gt;0),הגדרות!$B$18,הגדרות!$B$19),הגדרות!$B$21)</f>
        <v/>
      </c>
      <c r="P63" s="253" t="b">
        <f t="shared" si="14"/>
        <v>1</v>
      </c>
      <c r="Q63" s="253" t="b">
        <f t="shared" si="15"/>
        <v>0</v>
      </c>
      <c r="R63" s="253" t="str">
        <f>IF(O63=הגדרות!$B$21,הגדרות!$B$25,IF(AND(OR(תקציב!O63=הגדרות!$B$17,תקציב!O63=הגדרות!$B$18,תקציב!O63=הגדרות!$B$22),ISBLANK(תקציב!M63)),הגדרות!$B$25,הגדרות!$B$24))</f>
        <v>כן</v>
      </c>
      <c r="S63" s="254">
        <f>IF(R63=הגדרות!$B$24,1,-1)</f>
        <v>1</v>
      </c>
    </row>
    <row r="64" spans="2:19" ht="17.100000000000001" customHeight="1" x14ac:dyDescent="0.25">
      <c r="B64" s="382"/>
      <c r="C64" s="318"/>
      <c r="D64" s="146" t="str">
        <f>IFERROR(VLOOKUP($B$3,'מק"ט'!$B$2:$C$27,2,FALSE)&amp;VLOOKUP(H64,'מק"ט'!D:E,2,FALSE)&amp;VLOOKUP(E64,'מק"ט'!H:I,2,FALSE),"")</f>
        <v/>
      </c>
      <c r="E64" s="348" t="s">
        <v>264</v>
      </c>
      <c r="F64" s="349"/>
      <c r="G64" s="154"/>
      <c r="H64" s="150"/>
      <c r="I64" s="209"/>
      <c r="J64" s="212"/>
      <c r="K64" s="252">
        <f t="shared" si="12"/>
        <v>0</v>
      </c>
      <c r="L64" s="252" t="str">
        <f t="shared" si="13"/>
        <v/>
      </c>
      <c r="M64" s="385"/>
      <c r="N64" s="385"/>
      <c r="O64" s="249" t="str">
        <f>IF(OR(Q64,P64),IF(AND(VLOOKUP(E64,Таблица3345[[#All],[הוצאה]:[פירוט הוצאות]],3,FALSE)="כן",K64&gt;0),הגדרות!$B$18,הגדרות!$B$19),הגדרות!$B$21)</f>
        <v/>
      </c>
      <c r="P64" s="253" t="b">
        <f t="shared" si="14"/>
        <v>1</v>
      </c>
      <c r="Q64" s="253" t="b">
        <f t="shared" si="15"/>
        <v>0</v>
      </c>
      <c r="R64" s="253" t="str">
        <f>IF(O64=הגדרות!$B$21,הגדרות!$B$25,IF(AND(OR(תקציב!O64=הגדרות!$B$17,תקציב!O64=הגדרות!$B$18,תקציב!O64=הגדרות!$B$22),ISBLANK(תקציב!M64)),הגדרות!$B$25,הגדרות!$B$24))</f>
        <v>כן</v>
      </c>
      <c r="S64" s="254">
        <f>IF(R64=הגדרות!$B$24,1,-1)</f>
        <v>1</v>
      </c>
    </row>
    <row r="65" spans="2:19" ht="17.100000000000001" customHeight="1" x14ac:dyDescent="0.25">
      <c r="B65" s="382"/>
      <c r="C65" s="318"/>
      <c r="D65" s="146" t="str">
        <f>IFERROR(VLOOKUP($B$3,'מק"ט'!$B$2:$C$27,2,FALSE)&amp;VLOOKUP(H65,'מק"ט'!D:E,2,FALSE)&amp;VLOOKUP(E65,'מק"ט'!H:I,2,FALSE),"")</f>
        <v/>
      </c>
      <c r="E65" s="362" t="s">
        <v>264</v>
      </c>
      <c r="F65" s="363"/>
      <c r="G65" s="154"/>
      <c r="H65" s="150"/>
      <c r="I65" s="209"/>
      <c r="J65" s="212"/>
      <c r="K65" s="252">
        <f t="shared" si="12"/>
        <v>0</v>
      </c>
      <c r="L65" s="252" t="str">
        <f t="shared" si="13"/>
        <v/>
      </c>
      <c r="M65" s="385"/>
      <c r="N65" s="385"/>
      <c r="O65" s="249" t="str">
        <f>IF(OR(Q65,P65),IF(AND(VLOOKUP(E65,Таблица3345[[#All],[הוצאה]:[פירוט הוצאות]],3,FALSE)="כן",K65&gt;0),הגדרות!$B$18,הגדרות!$B$19),הגדרות!$B$21)</f>
        <v/>
      </c>
      <c r="P65" s="253" t="b">
        <f t="shared" si="14"/>
        <v>1</v>
      </c>
      <c r="Q65" s="253" t="b">
        <f t="shared" si="15"/>
        <v>0</v>
      </c>
      <c r="R65" s="253" t="str">
        <f>IF(O65=הגדרות!$B$21,הגדרות!$B$25,IF(AND(OR(תקציב!O65=הגדרות!$B$17,תקציב!O65=הגדרות!$B$18,תקציב!O65=הגדרות!$B$22),ISBLANK(תקציב!M65)),הגדרות!$B$25,הגדרות!$B$24))</f>
        <v>כן</v>
      </c>
      <c r="S65" s="254">
        <f>IF(R65=הגדרות!$B$24,1,-1)</f>
        <v>1</v>
      </c>
    </row>
    <row r="66" spans="2:19" ht="17.100000000000001" customHeight="1" thickBot="1" x14ac:dyDescent="0.3">
      <c r="B66" s="382"/>
      <c r="C66" s="318"/>
      <c r="D66" s="146" t="str">
        <f>IFERROR(VLOOKUP($B$3,'מק"ט'!$B$2:$C$27,2,FALSE)&amp;VLOOKUP(H66,'מק"ט'!D:E,2,FALSE)&amp;VLOOKUP(E66,'מק"ט'!H:I,2,FALSE),"")</f>
        <v/>
      </c>
      <c r="E66" s="362" t="s">
        <v>264</v>
      </c>
      <c r="F66" s="363"/>
      <c r="G66" s="154"/>
      <c r="H66" s="150"/>
      <c r="I66" s="209"/>
      <c r="J66" s="212"/>
      <c r="K66" s="252">
        <f t="shared" si="12"/>
        <v>0</v>
      </c>
      <c r="L66" s="252" t="str">
        <f t="shared" si="13"/>
        <v/>
      </c>
      <c r="M66" s="385"/>
      <c r="N66" s="385"/>
      <c r="O66" s="249" t="str">
        <f>IF(OR(Q66,P66),IF(AND(VLOOKUP(E66,Таблица3345[[#All],[הוצאה]:[פירוט הוצאות]],3,FALSE)="כן",K66&gt;0),הגדרות!$B$18,הגדרות!$B$19),הגדרות!$B$21)</f>
        <v/>
      </c>
      <c r="P66" s="253" t="b">
        <f t="shared" si="14"/>
        <v>1</v>
      </c>
      <c r="Q66" s="253" t="b">
        <f t="shared" si="15"/>
        <v>0</v>
      </c>
      <c r="R66" s="253" t="str">
        <f>IF(O66=הגדרות!$B$21,הגדרות!$B$25,IF(AND(OR(תקציב!O66=הגדרות!$B$17,תקציב!O66=הגדרות!$B$18,תקציב!O66=הגדרות!$B$22),ISBLANK(תקציב!M66)),הגדרות!$B$25,הגדרות!$B$24))</f>
        <v>כן</v>
      </c>
      <c r="S66" s="254">
        <f>IF(R66=הגדרות!$B$24,1,-1)</f>
        <v>1</v>
      </c>
    </row>
    <row r="67" spans="2:19" ht="18.75" thickBot="1" x14ac:dyDescent="0.25">
      <c r="B67" s="164"/>
      <c r="C67" s="148"/>
      <c r="D67" s="148"/>
      <c r="E67" s="336" t="s">
        <v>265</v>
      </c>
      <c r="F67" s="337"/>
      <c r="G67" s="164"/>
      <c r="H67" s="148"/>
      <c r="I67" s="148"/>
      <c r="J67" s="257"/>
      <c r="K67" s="266">
        <f>SUM(K54:K66)</f>
        <v>0</v>
      </c>
      <c r="L67" s="266">
        <f>SUM(L54:L66)</f>
        <v>0</v>
      </c>
      <c r="M67" s="289"/>
      <c r="N67" s="289"/>
      <c r="O67" s="243"/>
      <c r="P67" s="148"/>
      <c r="Q67" s="148"/>
      <c r="R67" s="148"/>
      <c r="S67" s="258"/>
    </row>
    <row r="68" spans="2:19" ht="17.100000000000001" customHeight="1" x14ac:dyDescent="0.25">
      <c r="B68" s="383" t="s">
        <v>200</v>
      </c>
      <c r="C68" s="318">
        <v>-1</v>
      </c>
      <c r="D68" s="146" t="str">
        <f>IFERROR(VLOOKUP($B$3,'מק"ט'!$B$2:$C$27,2,FALSE)&amp;VLOOKUP(H68,'מק"ט'!D:E,2,FALSE)&amp;VLOOKUP(E68,'מק"ט'!H:I,2,FALSE),"")</f>
        <v/>
      </c>
      <c r="E68" s="348" t="s">
        <v>206</v>
      </c>
      <c r="F68" s="349"/>
      <c r="G68" s="154"/>
      <c r="H68" s="150"/>
      <c r="I68" s="209"/>
      <c r="J68" s="212"/>
      <c r="K68" s="252">
        <f t="shared" ref="K68:K93" si="16">IF(G68="-",I68*J68,G68*I68*J68)</f>
        <v>0</v>
      </c>
      <c r="L68" s="252" t="str">
        <f t="shared" ref="L68:L93" si="17">IFERROR(K68/$D$7,"")</f>
        <v/>
      </c>
      <c r="M68" s="385"/>
      <c r="N68" s="385"/>
      <c r="O68" s="249" t="str">
        <f>IF(OR(Q68,P68),IF(AND(VLOOKUP(E68,Таблица3345[[#All],[הוצאה]:[פירוט הוצאות]],3,FALSE)="כן",K68&gt;0),הגדרות!$B$18,הגדרות!$B$19),הגדרות!$B$21)</f>
        <v/>
      </c>
      <c r="P68" s="253" t="b">
        <f t="shared" ref="P68:P86" si="18">AND(OR(ISBLANK(G68),G68=0),ISBLANK(H68),OR(ISBLANK(I68),I68=0),OR(ISBLANK(J68),J68=0))</f>
        <v>1</v>
      </c>
      <c r="Q68" s="253" t="b">
        <f t="shared" ref="Q68:Q86" si="19">AND(G68&gt;0,H68&gt;0,I68&gt;0,J68&gt;0)</f>
        <v>0</v>
      </c>
      <c r="R68" s="253" t="str">
        <f>IF(O68=הגדרות!$B$21,הגדרות!$B$25,IF(AND(OR(תקציב!O68=הגדרות!$B$17,תקציב!O68=הגדרות!$B$18,תקציב!O68=הגדרות!$B$22),ISBLANK(תקציב!M68)),הגדרות!$B$25,הגדרות!$B$24))</f>
        <v>כן</v>
      </c>
      <c r="S68" s="254">
        <f>IF(R68=הגדרות!$B$24,1,-1)</f>
        <v>1</v>
      </c>
    </row>
    <row r="69" spans="2:19" ht="17.100000000000001" customHeight="1" x14ac:dyDescent="0.25">
      <c r="B69" s="382"/>
      <c r="C69" s="318">
        <v>-1</v>
      </c>
      <c r="D69" s="146" t="str">
        <f>IFERROR(VLOOKUP($B$3,'מק"ט'!$B$2:$C$27,2,FALSE)&amp;VLOOKUP(H69,'מק"ט'!D:E,2,FALSE)&amp;VLOOKUP(E69,'מק"ט'!H:I,2,FALSE),"")</f>
        <v/>
      </c>
      <c r="E69" s="348" t="s">
        <v>206</v>
      </c>
      <c r="F69" s="349"/>
      <c r="G69" s="154"/>
      <c r="H69" s="150"/>
      <c r="I69" s="209"/>
      <c r="J69" s="212"/>
      <c r="K69" s="252">
        <f t="shared" si="16"/>
        <v>0</v>
      </c>
      <c r="L69" s="252" t="str">
        <f t="shared" si="17"/>
        <v/>
      </c>
      <c r="M69" s="385"/>
      <c r="N69" s="385"/>
      <c r="O69" s="249" t="str">
        <f>IF(OR(Q69,P69),IF(AND(VLOOKUP(E69,Таблица3345[[#All],[הוצאה]:[פירוט הוצאות]],3,FALSE)="כן",K69&gt;0),הגדרות!$B$18,הגדרות!$B$19),הגדרות!$B$21)</f>
        <v/>
      </c>
      <c r="P69" s="253" t="b">
        <f t="shared" si="18"/>
        <v>1</v>
      </c>
      <c r="Q69" s="253" t="b">
        <f t="shared" si="19"/>
        <v>0</v>
      </c>
      <c r="R69" s="253" t="str">
        <f>IF(O69=הגדרות!$B$21,הגדרות!$B$25,IF(AND(OR(תקציב!O69=הגדרות!$B$17,תקציב!O69=הגדרות!$B$18,תקציב!O69=הגדרות!$B$22),ISBLANK(תקציב!M69)),הגדרות!$B$25,הגדרות!$B$24))</f>
        <v>כן</v>
      </c>
      <c r="S69" s="254">
        <f>IF(R69=הגדרות!$B$24,1,-1)</f>
        <v>1</v>
      </c>
    </row>
    <row r="70" spans="2:19" ht="17.100000000000001" customHeight="1" x14ac:dyDescent="0.25">
      <c r="B70" s="382"/>
      <c r="C70" s="318"/>
      <c r="D70" s="146" t="str">
        <f>IFERROR(VLOOKUP($B$3,'מק"ט'!$B$2:$C$27,2,FALSE)&amp;VLOOKUP(H70,'מק"ט'!D:E,2,FALSE)&amp;VLOOKUP(E70,'מק"ט'!H:I,2,FALSE),"")</f>
        <v/>
      </c>
      <c r="E70" s="348" t="s">
        <v>207</v>
      </c>
      <c r="F70" s="349"/>
      <c r="G70" s="154"/>
      <c r="H70" s="150"/>
      <c r="I70" s="209"/>
      <c r="J70" s="212"/>
      <c r="K70" s="252">
        <f t="shared" si="16"/>
        <v>0</v>
      </c>
      <c r="L70" s="252" t="str">
        <f t="shared" si="17"/>
        <v/>
      </c>
      <c r="M70" s="385"/>
      <c r="N70" s="385"/>
      <c r="O70" s="249" t="str">
        <f>IF(OR(Q70,P70),IF(AND(VLOOKUP(E70,Таблица3345[[#All],[הוצאה]:[פירוט הוצאות]],3,FALSE)="כן",K70&gt;0),הגדרות!$B$18,הגדרות!$B$19),הגדרות!$B$21)</f>
        <v/>
      </c>
      <c r="P70" s="253" t="b">
        <f t="shared" si="18"/>
        <v>1</v>
      </c>
      <c r="Q70" s="253" t="b">
        <f t="shared" si="19"/>
        <v>0</v>
      </c>
      <c r="R70" s="253" t="str">
        <f>IF(O70=הגדרות!$B$21,הגדרות!$B$25,IF(AND(OR(תקציב!O70=הגדרות!$B$17,תקציב!O70=הגדרות!$B$18,תקציב!O70=הגדרות!$B$22),ISBLANK(תקציב!M70)),הגדרות!$B$25,הגדרות!$B$24))</f>
        <v>כן</v>
      </c>
      <c r="S70" s="254">
        <f>IF(R70=הגדרות!$B$24,1,-1)</f>
        <v>1</v>
      </c>
    </row>
    <row r="71" spans="2:19" ht="17.100000000000001" customHeight="1" x14ac:dyDescent="0.25">
      <c r="B71" s="382"/>
      <c r="C71" s="318"/>
      <c r="D71" s="146" t="str">
        <f>IFERROR(VLOOKUP($B$3,'מק"ט'!$B$2:$C$27,2,FALSE)&amp;VLOOKUP(H71,'מק"ט'!D:E,2,FALSE)&amp;VLOOKUP(E71,'מק"ט'!H:I,2,FALSE),"")</f>
        <v/>
      </c>
      <c r="E71" s="348" t="s">
        <v>208</v>
      </c>
      <c r="F71" s="349"/>
      <c r="G71" s="154"/>
      <c r="H71" s="150"/>
      <c r="I71" s="209"/>
      <c r="J71" s="212"/>
      <c r="K71" s="252">
        <f t="shared" si="16"/>
        <v>0</v>
      </c>
      <c r="L71" s="252" t="str">
        <f t="shared" si="17"/>
        <v/>
      </c>
      <c r="M71" s="385"/>
      <c r="N71" s="385"/>
      <c r="O71" s="249" t="str">
        <f>IF(OR(Q71,P71),IF(AND(VLOOKUP(E71,Таблица3345[[#All],[הוצאה]:[פירוט הוצאות]],3,FALSE)="כן",K71&gt;0),הגדרות!$B$18,הגדרות!$B$19),הגדרות!$B$21)</f>
        <v/>
      </c>
      <c r="P71" s="253" t="b">
        <f t="shared" si="18"/>
        <v>1</v>
      </c>
      <c r="Q71" s="253" t="b">
        <f t="shared" si="19"/>
        <v>0</v>
      </c>
      <c r="R71" s="253" t="str">
        <f>IF(O71=הגדרות!$B$21,הגדרות!$B$25,IF(AND(OR(תקציב!O71=הגדרות!$B$17,תקציב!O71=הגדרות!$B$18,תקציב!O71=הגדרות!$B$22),ISBLANK(תקציב!M71)),הגדרות!$B$25,הגדרות!$B$24))</f>
        <v>כן</v>
      </c>
      <c r="S71" s="254">
        <f>IF(R71=הגדרות!$B$24,1,-1)</f>
        <v>1</v>
      </c>
    </row>
    <row r="72" spans="2:19" ht="17.100000000000001" customHeight="1" x14ac:dyDescent="0.25">
      <c r="B72" s="382"/>
      <c r="C72" s="318"/>
      <c r="D72" s="146" t="str">
        <f>IFERROR(VLOOKUP($B$3,'מק"ט'!$B$2:$C$27,2,FALSE)&amp;VLOOKUP(H72,'מק"ט'!D:E,2,FALSE)&amp;VLOOKUP(E72,'מק"ט'!H:I,2,FALSE),"")</f>
        <v/>
      </c>
      <c r="E72" s="348" t="s">
        <v>209</v>
      </c>
      <c r="F72" s="349"/>
      <c r="G72" s="154"/>
      <c r="H72" s="150"/>
      <c r="I72" s="209"/>
      <c r="J72" s="212"/>
      <c r="K72" s="252">
        <f t="shared" si="16"/>
        <v>0</v>
      </c>
      <c r="L72" s="252" t="str">
        <f t="shared" si="17"/>
        <v/>
      </c>
      <c r="M72" s="385"/>
      <c r="N72" s="385"/>
      <c r="O72" s="249" t="str">
        <f>IF(OR(Q72,P72),IF(AND(VLOOKUP(E72,Таблица3345[[#All],[הוצאה]:[פירוט הוצאות]],3,FALSE)="כן",K72&gt;0),הגדרות!$B$18,הגדרות!$B$19),הגדרות!$B$21)</f>
        <v/>
      </c>
      <c r="P72" s="253" t="b">
        <f t="shared" si="18"/>
        <v>1</v>
      </c>
      <c r="Q72" s="253" t="b">
        <f t="shared" si="19"/>
        <v>0</v>
      </c>
      <c r="R72" s="253" t="str">
        <f>IF(O72=הגדרות!$B$21,הגדרות!$B$25,IF(AND(OR(תקציב!O72=הגדרות!$B$17,תקציב!O72=הגדרות!$B$18,תקציב!O72=הגדרות!$B$22),ISBLANK(תקציב!M72)),הגדרות!$B$25,הגדרות!$B$24))</f>
        <v>כן</v>
      </c>
      <c r="S72" s="254">
        <f>IF(R72=הגדרות!$B$24,1,-1)</f>
        <v>1</v>
      </c>
    </row>
    <row r="73" spans="2:19" ht="17.100000000000001" customHeight="1" x14ac:dyDescent="0.25">
      <c r="B73" s="382"/>
      <c r="C73" s="318"/>
      <c r="D73" s="146" t="str">
        <f>IFERROR(VLOOKUP($B$3,'מק"ט'!$B$2:$C$27,2,FALSE)&amp;VLOOKUP(H73,'מק"ט'!D:E,2,FALSE)&amp;VLOOKUP(E73,'מק"ט'!H:I,2,FALSE),"")</f>
        <v/>
      </c>
      <c r="E73" s="348" t="s">
        <v>245</v>
      </c>
      <c r="F73" s="349"/>
      <c r="G73" s="154"/>
      <c r="H73" s="150"/>
      <c r="I73" s="209"/>
      <c r="J73" s="212"/>
      <c r="K73" s="252">
        <f t="shared" si="16"/>
        <v>0</v>
      </c>
      <c r="L73" s="252" t="str">
        <f t="shared" si="17"/>
        <v/>
      </c>
      <c r="M73" s="385"/>
      <c r="N73" s="385"/>
      <c r="O73" s="249" t="str">
        <f>IF(OR(Q73,P73),IF(AND(VLOOKUP(E73,Таблица3345[[#All],[הוצאה]:[פירוט הוצאות]],3,FALSE)="כן",K73&gt;0),הגדרות!$B$18,הגדרות!$B$19),הגדרות!$B$21)</f>
        <v/>
      </c>
      <c r="P73" s="253" t="b">
        <f t="shared" si="18"/>
        <v>1</v>
      </c>
      <c r="Q73" s="253" t="b">
        <f t="shared" si="19"/>
        <v>0</v>
      </c>
      <c r="R73" s="253" t="str">
        <f>IF(O73=הגדרות!$B$21,הגדרות!$B$25,IF(AND(OR(תקציב!O73=הגדרות!$B$17,תקציב!O73=הגדרות!$B$18,תקציב!O73=הגדרות!$B$22),ISBLANK(תקציב!M73)),הגדרות!$B$25,הגדרות!$B$24))</f>
        <v>כן</v>
      </c>
      <c r="S73" s="254">
        <f>IF(R73=הגדרות!$B$24,1,-1)</f>
        <v>1</v>
      </c>
    </row>
    <row r="74" spans="2:19" ht="17.100000000000001" customHeight="1" x14ac:dyDescent="0.25">
      <c r="B74" s="382"/>
      <c r="C74" s="318"/>
      <c r="D74" s="146" t="str">
        <f>IFERROR(VLOOKUP($B$3,'מק"ט'!$B$2:$C$27,2,FALSE)&amp;VLOOKUP(H74,'מק"ט'!D:E,2,FALSE)&amp;VLOOKUP(E74,'מק"ט'!H:I,2,FALSE),"")</f>
        <v/>
      </c>
      <c r="E74" s="348" t="s">
        <v>245</v>
      </c>
      <c r="F74" s="349"/>
      <c r="G74" s="154"/>
      <c r="H74" s="150"/>
      <c r="I74" s="209"/>
      <c r="J74" s="212"/>
      <c r="K74" s="252">
        <f t="shared" si="16"/>
        <v>0</v>
      </c>
      <c r="L74" s="252" t="str">
        <f t="shared" si="17"/>
        <v/>
      </c>
      <c r="M74" s="385"/>
      <c r="N74" s="385"/>
      <c r="O74" s="249" t="str">
        <f>IF(OR(Q74,P74),IF(AND(VLOOKUP(E74,Таблица3345[[#All],[הוצאה]:[פירוט הוצאות]],3,FALSE)="כן",K74&gt;0),הגדרות!$B$18,הגדרות!$B$19),הגדרות!$B$21)</f>
        <v/>
      </c>
      <c r="P74" s="253" t="b">
        <f t="shared" si="18"/>
        <v>1</v>
      </c>
      <c r="Q74" s="253" t="b">
        <f t="shared" si="19"/>
        <v>0</v>
      </c>
      <c r="R74" s="253" t="str">
        <f>IF(O74=הגדרות!$B$21,הגדרות!$B$25,IF(AND(OR(תקציב!O74=הגדרות!$B$17,תקציב!O74=הגדרות!$B$18,תקציב!O74=הגדרות!$B$22),ISBLANK(תקציב!M74)),הגדרות!$B$25,הגדרות!$B$24))</f>
        <v>כן</v>
      </c>
      <c r="S74" s="254">
        <f>IF(R74=הגדרות!$B$24,1,-1)</f>
        <v>1</v>
      </c>
    </row>
    <row r="75" spans="2:19" ht="17.100000000000001" customHeight="1" x14ac:dyDescent="0.25">
      <c r="B75" s="382"/>
      <c r="C75" s="318"/>
      <c r="D75" s="146" t="str">
        <f>IFERROR(VLOOKUP($B$3,'מק"ט'!$B$2:$C$27,2,FALSE)&amp;VLOOKUP(H75,'מק"ט'!D:E,2,FALSE)&amp;VLOOKUP(E75,'מק"ט'!H:I,2,FALSE),"")</f>
        <v/>
      </c>
      <c r="E75" s="348" t="s">
        <v>245</v>
      </c>
      <c r="F75" s="349"/>
      <c r="G75" s="154"/>
      <c r="H75" s="150"/>
      <c r="I75" s="209"/>
      <c r="J75" s="212"/>
      <c r="K75" s="252">
        <f t="shared" si="16"/>
        <v>0</v>
      </c>
      <c r="L75" s="252" t="str">
        <f t="shared" si="17"/>
        <v/>
      </c>
      <c r="M75" s="385"/>
      <c r="N75" s="385"/>
      <c r="O75" s="249" t="str">
        <f>IF(OR(Q75,P75),IF(AND(VLOOKUP(E75,Таблица3345[[#All],[הוצאה]:[פירוט הוצאות]],3,FALSE)="כן",K75&gt;0),הגדרות!$B$18,הגדרות!$B$19),הגדרות!$B$21)</f>
        <v/>
      </c>
      <c r="P75" s="253" t="b">
        <f t="shared" si="18"/>
        <v>1</v>
      </c>
      <c r="Q75" s="253" t="b">
        <f t="shared" si="19"/>
        <v>0</v>
      </c>
      <c r="R75" s="253" t="str">
        <f>IF(O75=הגדרות!$B$21,הגדרות!$B$25,IF(AND(OR(תקציב!O75=הגדרות!$B$17,תקציב!O75=הגדרות!$B$18,תקציב!O75=הגדרות!$B$22),ISBLANK(תקציב!M75)),הגדרות!$B$25,הגדרות!$B$24))</f>
        <v>כן</v>
      </c>
      <c r="S75" s="254">
        <f>IF(R75=הגדרות!$B$24,1,-1)</f>
        <v>1</v>
      </c>
    </row>
    <row r="76" spans="2:19" ht="17.100000000000001" customHeight="1" x14ac:dyDescent="0.25">
      <c r="B76" s="382"/>
      <c r="C76" s="318"/>
      <c r="D76" s="146" t="str">
        <f>IFERROR(VLOOKUP($B$3,'מק"ט'!$B$2:$C$27,2,FALSE)&amp;VLOOKUP(H76,'מק"ט'!D:E,2,FALSE)&amp;VLOOKUP(E76,'מק"ט'!H:I,2,FALSE),"")</f>
        <v/>
      </c>
      <c r="E76" s="348" t="s">
        <v>245</v>
      </c>
      <c r="F76" s="349"/>
      <c r="G76" s="154"/>
      <c r="H76" s="150"/>
      <c r="I76" s="209"/>
      <c r="J76" s="212"/>
      <c r="K76" s="252">
        <f t="shared" si="16"/>
        <v>0</v>
      </c>
      <c r="L76" s="252" t="str">
        <f t="shared" si="17"/>
        <v/>
      </c>
      <c r="M76" s="385"/>
      <c r="N76" s="385"/>
      <c r="O76" s="249" t="str">
        <f>IF(OR(Q76,P76),IF(AND(VLOOKUP(E76,Таблица3345[[#All],[הוצאה]:[פירוט הוצאות]],3,FALSE)="כן",K76&gt;0),הגדרות!$B$18,הגדרות!$B$19),הגדרות!$B$21)</f>
        <v/>
      </c>
      <c r="P76" s="253" t="b">
        <f t="shared" si="18"/>
        <v>1</v>
      </c>
      <c r="Q76" s="253" t="b">
        <f t="shared" si="19"/>
        <v>0</v>
      </c>
      <c r="R76" s="253" t="str">
        <f>IF(O76=הגדרות!$B$21,הגדרות!$B$25,IF(AND(OR(תקציב!O76=הגדרות!$B$17,תקציב!O76=הגדרות!$B$18,תקציב!O76=הגדרות!$B$22),ISBLANK(תקציב!M76)),הגדרות!$B$25,הגדרות!$B$24))</f>
        <v>כן</v>
      </c>
      <c r="S76" s="254">
        <f>IF(R76=הגדרות!$B$24,1,-1)</f>
        <v>1</v>
      </c>
    </row>
    <row r="77" spans="2:19" ht="17.100000000000001" customHeight="1" x14ac:dyDescent="0.25">
      <c r="B77" s="382"/>
      <c r="C77" s="318"/>
      <c r="D77" s="146" t="str">
        <f>IFERROR(VLOOKUP($B$3,'מק"ט'!$B$2:$C$27,2,FALSE)&amp;VLOOKUP(H77,'מק"ט'!D:E,2,FALSE)&amp;VLOOKUP(E77,'מק"ט'!H:I,2,FALSE),"")</f>
        <v/>
      </c>
      <c r="E77" s="348" t="s">
        <v>245</v>
      </c>
      <c r="F77" s="349"/>
      <c r="G77" s="154"/>
      <c r="H77" s="150"/>
      <c r="I77" s="209"/>
      <c r="J77" s="212"/>
      <c r="K77" s="252">
        <f t="shared" si="16"/>
        <v>0</v>
      </c>
      <c r="L77" s="252" t="str">
        <f t="shared" si="17"/>
        <v/>
      </c>
      <c r="M77" s="385"/>
      <c r="N77" s="385"/>
      <c r="O77" s="249" t="str">
        <f>IF(OR(Q77,P77),IF(AND(VLOOKUP(E77,Таблица3345[[#All],[הוצאה]:[פירוט הוצאות]],3,FALSE)="כן",K77&gt;0),הגדרות!$B$18,הגדרות!$B$19),הגדרות!$B$21)</f>
        <v/>
      </c>
      <c r="P77" s="253" t="b">
        <f t="shared" si="18"/>
        <v>1</v>
      </c>
      <c r="Q77" s="253" t="b">
        <f t="shared" si="19"/>
        <v>0</v>
      </c>
      <c r="R77" s="253" t="str">
        <f>IF(O77=הגדרות!$B$21,הגדרות!$B$25,IF(AND(OR(תקציב!O77=הגדרות!$B$17,תקציב!O77=הגדרות!$B$18,תקציב!O77=הגדרות!$B$22),ISBLANK(תקציב!M77)),הגדרות!$B$25,הגדרות!$B$24))</f>
        <v>כן</v>
      </c>
      <c r="S77" s="254">
        <f>IF(R77=הגדרות!$B$24,1,-1)</f>
        <v>1</v>
      </c>
    </row>
    <row r="78" spans="2:19" ht="17.100000000000001" customHeight="1" x14ac:dyDescent="0.25">
      <c r="B78" s="382"/>
      <c r="C78" s="318"/>
      <c r="D78" s="146" t="str">
        <f>IFERROR(VLOOKUP($B$3,'מק"ט'!$B$2:$C$27,2,FALSE)&amp;VLOOKUP(H78,'מק"ט'!D:E,2,FALSE)&amp;VLOOKUP(E78,'מק"ט'!H:I,2,FALSE),"")</f>
        <v/>
      </c>
      <c r="E78" s="348" t="s">
        <v>245</v>
      </c>
      <c r="F78" s="349"/>
      <c r="G78" s="154"/>
      <c r="H78" s="150"/>
      <c r="I78" s="209"/>
      <c r="J78" s="212"/>
      <c r="K78" s="252">
        <f t="shared" si="16"/>
        <v>0</v>
      </c>
      <c r="L78" s="252" t="str">
        <f t="shared" si="17"/>
        <v/>
      </c>
      <c r="M78" s="385"/>
      <c r="N78" s="385"/>
      <c r="O78" s="249" t="str">
        <f>IF(OR(Q78,P78),IF(AND(VLOOKUP(E78,Таблица3345[[#All],[הוצאה]:[פירוט הוצאות]],3,FALSE)="כן",K78&gt;0),הגדרות!$B$18,הגדרות!$B$19),הגדרות!$B$21)</f>
        <v/>
      </c>
      <c r="P78" s="253" t="b">
        <f t="shared" si="18"/>
        <v>1</v>
      </c>
      <c r="Q78" s="253" t="b">
        <f t="shared" si="19"/>
        <v>0</v>
      </c>
      <c r="R78" s="253" t="str">
        <f>IF(O78=הגדרות!$B$21,הגדרות!$B$25,IF(AND(OR(תקציב!O78=הגדרות!$B$17,תקציב!O78=הגדרות!$B$18,תקציב!O78=הגדרות!$B$22),ISBLANK(תקציב!M78)),הגדרות!$B$25,הגדרות!$B$24))</f>
        <v>כן</v>
      </c>
      <c r="S78" s="254">
        <f>IF(R78=הגדרות!$B$24,1,-1)</f>
        <v>1</v>
      </c>
    </row>
    <row r="79" spans="2:19" ht="17.100000000000001" customHeight="1" x14ac:dyDescent="0.25">
      <c r="B79" s="382"/>
      <c r="C79" s="318"/>
      <c r="D79" s="146" t="str">
        <f>IFERROR(VLOOKUP($B$3,'מק"ט'!$B$2:$C$27,2,FALSE)&amp;VLOOKUP(H79,'מק"ט'!D:E,2,FALSE)&amp;VLOOKUP(E79,'מק"ט'!H:I,2,FALSE),"")</f>
        <v/>
      </c>
      <c r="E79" s="348" t="s">
        <v>245</v>
      </c>
      <c r="F79" s="349"/>
      <c r="G79" s="154"/>
      <c r="H79" s="150"/>
      <c r="I79" s="209"/>
      <c r="J79" s="212"/>
      <c r="K79" s="252">
        <f t="shared" si="16"/>
        <v>0</v>
      </c>
      <c r="L79" s="252" t="str">
        <f t="shared" si="17"/>
        <v/>
      </c>
      <c r="M79" s="385"/>
      <c r="N79" s="385"/>
      <c r="O79" s="249" t="str">
        <f>IF(OR(Q79,P79),IF(AND(VLOOKUP(E79,Таблица3345[[#All],[הוצאה]:[פירוט הוצאות]],3,FALSE)="כן",K79&gt;0),הגדרות!$B$18,הגדרות!$B$19),הגדרות!$B$21)</f>
        <v/>
      </c>
      <c r="P79" s="253" t="b">
        <f t="shared" si="18"/>
        <v>1</v>
      </c>
      <c r="Q79" s="253" t="b">
        <f t="shared" si="19"/>
        <v>0</v>
      </c>
      <c r="R79" s="253" t="str">
        <f>IF(O79=הגדרות!$B$21,הגדרות!$B$25,IF(AND(OR(תקציב!O79=הגדרות!$B$17,תקציב!O79=הגדרות!$B$18,תקציב!O79=הגדרות!$B$22),ISBLANK(תקציב!M79)),הגדרות!$B$25,הגדרות!$B$24))</f>
        <v>כן</v>
      </c>
      <c r="S79" s="254">
        <f>IF(R79=הגדרות!$B$24,1,-1)</f>
        <v>1</v>
      </c>
    </row>
    <row r="80" spans="2:19" ht="17.100000000000001" customHeight="1" x14ac:dyDescent="0.25">
      <c r="B80" s="382"/>
      <c r="C80" s="318"/>
      <c r="D80" s="146" t="str">
        <f>IFERROR(VLOOKUP($B$3,'מק"ט'!$B$2:$C$27,2,FALSE)&amp;VLOOKUP(H80,'מק"ט'!D:E,2,FALSE)&amp;VLOOKUP(E80,'מק"ט'!H:I,2,FALSE),"")</f>
        <v/>
      </c>
      <c r="E80" s="348" t="s">
        <v>245</v>
      </c>
      <c r="F80" s="349"/>
      <c r="G80" s="154"/>
      <c r="H80" s="150"/>
      <c r="I80" s="209"/>
      <c r="J80" s="212"/>
      <c r="K80" s="252">
        <f t="shared" si="16"/>
        <v>0</v>
      </c>
      <c r="L80" s="252" t="str">
        <f t="shared" si="17"/>
        <v/>
      </c>
      <c r="M80" s="385"/>
      <c r="N80" s="385"/>
      <c r="O80" s="249" t="str">
        <f>IF(OR(Q80,P80),IF(AND(VLOOKUP(E80,Таблица3345[[#All],[הוצאה]:[פירוט הוצאות]],3,FALSE)="כן",K80&gt;0),הגדרות!$B$18,הגדרות!$B$19),הגדרות!$B$21)</f>
        <v/>
      </c>
      <c r="P80" s="253" t="b">
        <f t="shared" si="18"/>
        <v>1</v>
      </c>
      <c r="Q80" s="253" t="b">
        <f t="shared" si="19"/>
        <v>0</v>
      </c>
      <c r="R80" s="253" t="str">
        <f>IF(O80=הגדרות!$B$21,הגדרות!$B$25,IF(AND(OR(תקציב!O80=הגדרות!$B$17,תקציב!O80=הגדרות!$B$18,תקציב!O80=הגדרות!$B$22),ISBLANK(תקציב!M80)),הגדרות!$B$25,הגדרות!$B$24))</f>
        <v>כן</v>
      </c>
      <c r="S80" s="254">
        <f>IF(R80=הגדרות!$B$24,1,-1)</f>
        <v>1</v>
      </c>
    </row>
    <row r="81" spans="2:19" ht="17.100000000000001" customHeight="1" x14ac:dyDescent="0.25">
      <c r="B81" s="382"/>
      <c r="C81" s="318"/>
      <c r="D81" s="146" t="str">
        <f>IFERROR(VLOOKUP($B$3,'מק"ט'!$B$2:$C$27,2,FALSE)&amp;VLOOKUP(H81,'מק"ט'!D:E,2,FALSE)&amp;VLOOKUP(E81,'מק"ט'!H:I,2,FALSE),"")</f>
        <v/>
      </c>
      <c r="E81" s="348" t="s">
        <v>245</v>
      </c>
      <c r="F81" s="349"/>
      <c r="G81" s="154"/>
      <c r="H81" s="150"/>
      <c r="I81" s="209"/>
      <c r="J81" s="212"/>
      <c r="K81" s="252">
        <f t="shared" si="16"/>
        <v>0</v>
      </c>
      <c r="L81" s="252" t="str">
        <f t="shared" si="17"/>
        <v/>
      </c>
      <c r="M81" s="385"/>
      <c r="N81" s="385"/>
      <c r="O81" s="249" t="str">
        <f>IF(OR(Q81,P81),IF(AND(VLOOKUP(E81,Таблица3345[[#All],[הוצאה]:[פירוט הוצאות]],3,FALSE)="כן",K81&gt;0),הגדרות!$B$18,הגדרות!$B$19),הגדרות!$B$21)</f>
        <v/>
      </c>
      <c r="P81" s="253" t="b">
        <f t="shared" si="18"/>
        <v>1</v>
      </c>
      <c r="Q81" s="253" t="b">
        <f t="shared" si="19"/>
        <v>0</v>
      </c>
      <c r="R81" s="253" t="str">
        <f>IF(O81=הגדרות!$B$21,הגדרות!$B$25,IF(AND(OR(תקציב!O81=הגדרות!$B$17,תקציב!O81=הגדרות!$B$18,תקציב!O81=הגדרות!$B$22),ISBLANK(תקציב!M81)),הגדרות!$B$25,הגדרות!$B$24))</f>
        <v>כן</v>
      </c>
      <c r="S81" s="254">
        <f>IF(R81=הגדרות!$B$24,1,-1)</f>
        <v>1</v>
      </c>
    </row>
    <row r="82" spans="2:19" ht="17.100000000000001" customHeight="1" x14ac:dyDescent="0.25">
      <c r="B82" s="382"/>
      <c r="C82" s="318"/>
      <c r="D82" s="146" t="str">
        <f>IFERROR(VLOOKUP($B$3,'מק"ט'!$B$2:$C$27,2,FALSE)&amp;VLOOKUP(H82,'מק"ט'!D:E,2,FALSE)&amp;VLOOKUP(E82,'מק"ט'!H:I,2,FALSE),"")</f>
        <v/>
      </c>
      <c r="E82" s="348" t="s">
        <v>245</v>
      </c>
      <c r="F82" s="349"/>
      <c r="G82" s="154"/>
      <c r="H82" s="150"/>
      <c r="I82" s="209"/>
      <c r="J82" s="212"/>
      <c r="K82" s="252">
        <f t="shared" si="16"/>
        <v>0</v>
      </c>
      <c r="L82" s="252" t="str">
        <f t="shared" si="17"/>
        <v/>
      </c>
      <c r="M82" s="385"/>
      <c r="N82" s="385"/>
      <c r="O82" s="249" t="str">
        <f>IF(OR(Q82,P82),IF(AND(VLOOKUP(E82,Таблица3345[[#All],[הוצאה]:[פירוט הוצאות]],3,FALSE)="כן",K82&gt;0),הגדרות!$B$18,הגדרות!$B$19),הגדרות!$B$21)</f>
        <v/>
      </c>
      <c r="P82" s="253" t="b">
        <f t="shared" si="18"/>
        <v>1</v>
      </c>
      <c r="Q82" s="253" t="b">
        <f t="shared" si="19"/>
        <v>0</v>
      </c>
      <c r="R82" s="253" t="str">
        <f>IF(O82=הגדרות!$B$21,הגדרות!$B$25,IF(AND(OR(תקציב!O82=הגדרות!$B$17,תקציב!O82=הגדרות!$B$18,תקציב!O82=הגדרות!$B$22),ISBLANK(תקציב!M82)),הגדרות!$B$25,הגדרות!$B$24))</f>
        <v>כן</v>
      </c>
      <c r="S82" s="254">
        <f>IF(R82=הגדרות!$B$24,1,-1)</f>
        <v>1</v>
      </c>
    </row>
    <row r="83" spans="2:19" ht="17.100000000000001" customHeight="1" x14ac:dyDescent="0.25">
      <c r="B83" s="382"/>
      <c r="C83" s="318"/>
      <c r="D83" s="146" t="str">
        <f>IFERROR(VLOOKUP($B$3,'מק"ט'!$B$2:$C$27,2,FALSE)&amp;VLOOKUP(H83,'מק"ט'!D:E,2,FALSE)&amp;VLOOKUP(E83,'מק"ט'!H:I,2,FALSE),"")</f>
        <v/>
      </c>
      <c r="E83" s="348" t="s">
        <v>245</v>
      </c>
      <c r="F83" s="349"/>
      <c r="G83" s="154"/>
      <c r="H83" s="150"/>
      <c r="I83" s="209"/>
      <c r="J83" s="212"/>
      <c r="K83" s="252">
        <f t="shared" si="16"/>
        <v>0</v>
      </c>
      <c r="L83" s="252" t="str">
        <f t="shared" si="17"/>
        <v/>
      </c>
      <c r="M83" s="385"/>
      <c r="N83" s="385"/>
      <c r="O83" s="249" t="str">
        <f>IF(OR(Q83,P83),IF(AND(VLOOKUP(E83,Таблица3345[[#All],[הוצאה]:[פירוט הוצאות]],3,FALSE)="כן",K83&gt;0),הגדרות!$B$18,הגדרות!$B$19),הגדרות!$B$21)</f>
        <v/>
      </c>
      <c r="P83" s="253" t="b">
        <f t="shared" si="18"/>
        <v>1</v>
      </c>
      <c r="Q83" s="253" t="b">
        <f t="shared" si="19"/>
        <v>0</v>
      </c>
      <c r="R83" s="253" t="str">
        <f>IF(O83=הגדרות!$B$21,הגדרות!$B$25,IF(AND(OR(תקציב!O83=הגדרות!$B$17,תקציב!O83=הגדרות!$B$18,תקציב!O83=הגדרות!$B$22),ISBLANK(תקציב!M83)),הגדרות!$B$25,הגדרות!$B$24))</f>
        <v>כן</v>
      </c>
      <c r="S83" s="254">
        <f>IF(R83=הגדרות!$B$24,1,-1)</f>
        <v>1</v>
      </c>
    </row>
    <row r="84" spans="2:19" ht="17.100000000000001" customHeight="1" x14ac:dyDescent="0.25">
      <c r="B84" s="382"/>
      <c r="C84" s="318"/>
      <c r="D84" s="146" t="str">
        <f>IFERROR(VLOOKUP($B$3,'מק"ט'!$B$2:$C$27,2,FALSE)&amp;VLOOKUP(H84,'מק"ט'!D:E,2,FALSE)&amp;VLOOKUP(E84,'מק"ט'!H:I,2,FALSE),"")</f>
        <v/>
      </c>
      <c r="E84" s="348" t="s">
        <v>245</v>
      </c>
      <c r="F84" s="349"/>
      <c r="G84" s="154"/>
      <c r="H84" s="150"/>
      <c r="I84" s="209"/>
      <c r="J84" s="212"/>
      <c r="K84" s="252">
        <f t="shared" si="16"/>
        <v>0</v>
      </c>
      <c r="L84" s="252" t="str">
        <f t="shared" si="17"/>
        <v/>
      </c>
      <c r="M84" s="385"/>
      <c r="N84" s="385"/>
      <c r="O84" s="249" t="str">
        <f>IF(OR(Q84,P84),IF(AND(VLOOKUP(E84,Таблица3345[[#All],[הוצאה]:[פירוט הוצאות]],3,FALSE)="כן",K84&gt;0),הגדרות!$B$18,הגדרות!$B$19),הגדרות!$B$21)</f>
        <v/>
      </c>
      <c r="P84" s="253" t="b">
        <f t="shared" si="18"/>
        <v>1</v>
      </c>
      <c r="Q84" s="253" t="b">
        <f t="shared" si="19"/>
        <v>0</v>
      </c>
      <c r="R84" s="253" t="str">
        <f>IF(O84=הגדרות!$B$21,הגדרות!$B$25,IF(AND(OR(תקציב!O84=הגדרות!$B$17,תקציב!O84=הגדרות!$B$18,תקציב!O84=הגדרות!$B$22),ISBLANK(תקציב!M84)),הגדרות!$B$25,הגדרות!$B$24))</f>
        <v>כן</v>
      </c>
      <c r="S84" s="254">
        <f>IF(R84=הגדרות!$B$24,1,-1)</f>
        <v>1</v>
      </c>
    </row>
    <row r="85" spans="2:19" ht="17.100000000000001" customHeight="1" x14ac:dyDescent="0.25">
      <c r="B85" s="382"/>
      <c r="C85" s="318"/>
      <c r="D85" s="146" t="str">
        <f>IFERROR(VLOOKUP($B$3,'מק"ט'!$B$2:$C$27,2,FALSE)&amp;VLOOKUP(H85,'מק"ט'!D:E,2,FALSE)&amp;VLOOKUP(E85,'מק"ט'!H:I,2,FALSE),"")</f>
        <v/>
      </c>
      <c r="E85" s="348" t="s">
        <v>254</v>
      </c>
      <c r="F85" s="349"/>
      <c r="G85" s="154"/>
      <c r="H85" s="150"/>
      <c r="I85" s="209"/>
      <c r="J85" s="212"/>
      <c r="K85" s="252">
        <f t="shared" si="16"/>
        <v>0</v>
      </c>
      <c r="L85" s="252" t="str">
        <f t="shared" si="17"/>
        <v/>
      </c>
      <c r="M85" s="385"/>
      <c r="N85" s="385"/>
      <c r="O85" s="249" t="str">
        <f>IF(OR(Q85,P85),IF(AND(VLOOKUP(E85,Таблица3345[[#All],[הוצאה]:[פירוט הוצאות]],3,FALSE)="כן",K85&gt;0),הגדרות!$B$18,הגדרות!$B$19),הגדרות!$B$21)</f>
        <v/>
      </c>
      <c r="P85" s="253" t="b">
        <f t="shared" si="18"/>
        <v>1</v>
      </c>
      <c r="Q85" s="253" t="b">
        <f t="shared" si="19"/>
        <v>0</v>
      </c>
      <c r="R85" s="253" t="str">
        <f>IF(O85=הגדרות!$B$21,הגדרות!$B$25,IF(AND(OR(תקציב!O85=הגדרות!$B$17,תקציב!O85=הגדרות!$B$18,תקציב!O85=הגדרות!$B$22),ISBLANK(תקציב!M85)),הגדרות!$B$25,הגדרות!$B$24))</f>
        <v>כן</v>
      </c>
      <c r="S85" s="254">
        <f>IF(R85=הגדרות!$B$24,1,-1)</f>
        <v>1</v>
      </c>
    </row>
    <row r="86" spans="2:19" ht="17.100000000000001" customHeight="1" x14ac:dyDescent="0.25">
      <c r="B86" s="382"/>
      <c r="C86" s="318"/>
      <c r="D86" s="146" t="str">
        <f>IFERROR(VLOOKUP($B$3,'מק"ט'!$B$2:$C$27,2,FALSE)&amp;VLOOKUP(H86,'מק"ט'!D:E,2,FALSE)&amp;VLOOKUP(E86,'מק"ט'!H:I,2,FALSE),"")</f>
        <v/>
      </c>
      <c r="E86" s="348" t="s">
        <v>255</v>
      </c>
      <c r="F86" s="349"/>
      <c r="G86" s="154"/>
      <c r="H86" s="150"/>
      <c r="I86" s="209"/>
      <c r="J86" s="212"/>
      <c r="K86" s="252">
        <f t="shared" si="16"/>
        <v>0</v>
      </c>
      <c r="L86" s="252" t="str">
        <f t="shared" si="17"/>
        <v/>
      </c>
      <c r="M86" s="385"/>
      <c r="N86" s="385"/>
      <c r="O86" s="249" t="str">
        <f>IF(OR(Q86,P86),IF(AND(VLOOKUP(E86,Таблица3345[[#All],[הוצאה]:[פירוט הוצאות]],3,FALSE)="כן",K86&gt;0),הגדרות!$B$18,הגדרות!$B$19),הגדרות!$B$21)</f>
        <v/>
      </c>
      <c r="P86" s="253" t="b">
        <f t="shared" si="18"/>
        <v>1</v>
      </c>
      <c r="Q86" s="253" t="b">
        <f t="shared" si="19"/>
        <v>0</v>
      </c>
      <c r="R86" s="253" t="str">
        <f>IF(O86=הגדרות!$B$21,הגדרות!$B$25,IF(AND(OR(תקציב!O86=הגדרות!$B$17,תקציב!O86=הגדרות!$B$18,תקציב!O86=הגדרות!$B$22),ISBLANK(תקציב!M86)),הגדרות!$B$25,הגדרות!$B$24))</f>
        <v>כן</v>
      </c>
      <c r="S86" s="254">
        <f>IF(R86=הגדרות!$B$24,1,-1)</f>
        <v>1</v>
      </c>
    </row>
    <row r="87" spans="2:19" ht="17.100000000000001" customHeight="1" x14ac:dyDescent="0.25">
      <c r="B87" s="382"/>
      <c r="C87" s="318"/>
      <c r="D87" s="146" t="str">
        <f>IFERROR(VLOOKUP($B$3,'מק"ט'!$B$2:$C$27,2,FALSE)&amp;VLOOKUP(H87,'מק"ט'!D:E,2,FALSE)&amp;VLOOKUP(E87,'מק"ט'!H:I,2,FALSE),"")</f>
        <v/>
      </c>
      <c r="E87" s="348" t="s">
        <v>256</v>
      </c>
      <c r="F87" s="349"/>
      <c r="G87" s="155" t="s">
        <v>78</v>
      </c>
      <c r="H87" s="150"/>
      <c r="I87" s="209"/>
      <c r="J87" s="212"/>
      <c r="K87" s="252">
        <f t="shared" si="16"/>
        <v>0</v>
      </c>
      <c r="L87" s="252" t="str">
        <f t="shared" si="17"/>
        <v/>
      </c>
      <c r="M87" s="385"/>
      <c r="N87" s="385"/>
      <c r="O87" s="249" t="str">
        <f>IF(OR(Q87,P87),IF(AND(VLOOKUP(E87,Таблица3345[[#All],[הוצאה]:[פירוט הוצאות]],3,FALSE)="כן",K87&gt;0),הגדרות!$B$18,הגדרות!$B$19),הגדרות!$B$21)</f>
        <v/>
      </c>
      <c r="P87" s="253" t="b">
        <f t="shared" ref="P87:P93" si="20">AND(ISBLANK(H87),OR(ISBLANK(I87),I87=0),OR(ISBLANK(J87),J87=0))</f>
        <v>1</v>
      </c>
      <c r="Q87" s="253" t="b">
        <f t="shared" ref="Q87:Q93" si="21">AND(H87&gt;0,I87&gt;0,J87&gt;0)</f>
        <v>0</v>
      </c>
      <c r="R87" s="253" t="str">
        <f>IF(O87=הגדרות!$B$21,הגדרות!$B$25,IF(AND(OR(תקציב!O87=הגדרות!$B$17,תקציב!O87=הגדרות!$B$18,תקציב!O87=הגדרות!$B$22),ISBLANK(תקציב!M87)),הגדרות!$B$25,הגדרות!$B$24))</f>
        <v>כן</v>
      </c>
      <c r="S87" s="254">
        <f>IF(R87=הגדרות!$B$24,1,-1)</f>
        <v>1</v>
      </c>
    </row>
    <row r="88" spans="2:19" ht="17.100000000000001" customHeight="1" x14ac:dyDescent="0.25">
      <c r="B88" s="382"/>
      <c r="C88" s="318"/>
      <c r="D88" s="146" t="str">
        <f>IFERROR(VLOOKUP($B$3,'מק"ט'!$B$2:$C$27,2,FALSE)&amp;VLOOKUP(H88,'מק"ט'!D:E,2,FALSE)&amp;VLOOKUP(E88,'מק"ט'!H:I,2,FALSE),"")</f>
        <v/>
      </c>
      <c r="E88" s="348" t="s">
        <v>257</v>
      </c>
      <c r="F88" s="349"/>
      <c r="G88" s="155" t="s">
        <v>78</v>
      </c>
      <c r="H88" s="150"/>
      <c r="I88" s="209"/>
      <c r="J88" s="212"/>
      <c r="K88" s="252">
        <f t="shared" si="16"/>
        <v>0</v>
      </c>
      <c r="L88" s="252" t="str">
        <f t="shared" si="17"/>
        <v/>
      </c>
      <c r="M88" s="385"/>
      <c r="N88" s="385"/>
      <c r="O88" s="249" t="str">
        <f>IF(OR(Q88,P88),IF(AND(VLOOKUP(E88,Таблица3345[[#All],[הוצאה]:[פירוט הוצאות]],3,FALSE)="כן",K88&gt;0),הגדרות!$B$18,הגדרות!$B$19),הגדרות!$B$21)</f>
        <v/>
      </c>
      <c r="P88" s="253" t="b">
        <f t="shared" si="20"/>
        <v>1</v>
      </c>
      <c r="Q88" s="253" t="b">
        <f t="shared" si="21"/>
        <v>0</v>
      </c>
      <c r="R88" s="253" t="str">
        <f>IF(O88=הגדרות!$B$21,הגדרות!$B$25,IF(AND(OR(תקציב!O88=הגדרות!$B$17,תקציב!O88=הגדרות!$B$18,תקציב!O88=הגדרות!$B$22),ISBLANK(תקציב!M88)),הגדרות!$B$25,הגדרות!$B$24))</f>
        <v>כן</v>
      </c>
      <c r="S88" s="254">
        <f>IF(R88=הגדרות!$B$24,1,-1)</f>
        <v>1</v>
      </c>
    </row>
    <row r="89" spans="2:19" ht="17.100000000000001" customHeight="1" x14ac:dyDescent="0.25">
      <c r="B89" s="382"/>
      <c r="C89" s="318"/>
      <c r="D89" s="146" t="str">
        <f>IFERROR(VLOOKUP($B$3,'מק"ט'!$B$2:$C$27,2,FALSE)&amp;VLOOKUP(H89,'מק"ט'!D:E,2,FALSE)&amp;VLOOKUP(E89,'מק"ט'!H:I,2,FALSE),"")</f>
        <v/>
      </c>
      <c r="E89" s="348" t="s">
        <v>257</v>
      </c>
      <c r="F89" s="349"/>
      <c r="G89" s="155" t="s">
        <v>78</v>
      </c>
      <c r="H89" s="150"/>
      <c r="I89" s="209"/>
      <c r="J89" s="212"/>
      <c r="K89" s="252">
        <f t="shared" si="16"/>
        <v>0</v>
      </c>
      <c r="L89" s="252" t="str">
        <f t="shared" si="17"/>
        <v/>
      </c>
      <c r="M89" s="385"/>
      <c r="N89" s="385"/>
      <c r="O89" s="249" t="str">
        <f>IF(OR(Q89,P89),IF(AND(VLOOKUP(E89,Таблица3345[[#All],[הוצאה]:[פירוט הוצאות]],3,FALSE)="כן",K89&gt;0),הגדרות!$B$18,הגדרות!$B$19),הגדרות!$B$21)</f>
        <v/>
      </c>
      <c r="P89" s="253" t="b">
        <f t="shared" si="20"/>
        <v>1</v>
      </c>
      <c r="Q89" s="253" t="b">
        <f t="shared" si="21"/>
        <v>0</v>
      </c>
      <c r="R89" s="253" t="str">
        <f>IF(O89=הגדרות!$B$21,הגדרות!$B$25,IF(AND(OR(תקציב!O89=הגדרות!$B$17,תקציב!O89=הגדרות!$B$18,תקציב!O89=הגדרות!$B$22),ISBLANK(תקציב!M89)),הגדרות!$B$25,הגדרות!$B$24))</f>
        <v>כן</v>
      </c>
      <c r="S89" s="254">
        <f>IF(R89=הגדרות!$B$24,1,-1)</f>
        <v>1</v>
      </c>
    </row>
    <row r="90" spans="2:19" ht="17.100000000000001" customHeight="1" x14ac:dyDescent="0.25">
      <c r="B90" s="382"/>
      <c r="C90" s="318"/>
      <c r="D90" s="146" t="str">
        <f>IFERROR(VLOOKUP($B$3,'מק"ט'!$B$2:$C$27,2,FALSE)&amp;VLOOKUP(H90,'מק"ט'!D:E,2,FALSE)&amp;VLOOKUP(E90,'מק"ט'!H:I,2,FALSE),"")</f>
        <v/>
      </c>
      <c r="E90" s="348" t="s">
        <v>257</v>
      </c>
      <c r="F90" s="349"/>
      <c r="G90" s="155" t="s">
        <v>78</v>
      </c>
      <c r="H90" s="150"/>
      <c r="I90" s="209"/>
      <c r="J90" s="212"/>
      <c r="K90" s="252">
        <f t="shared" si="16"/>
        <v>0</v>
      </c>
      <c r="L90" s="252" t="str">
        <f t="shared" si="17"/>
        <v/>
      </c>
      <c r="M90" s="385"/>
      <c r="N90" s="385"/>
      <c r="O90" s="249" t="str">
        <f>IF(OR(Q90,P90),IF(AND(VLOOKUP(E90,Таблица3345[[#All],[הוצאה]:[פירוט הוצאות]],3,FALSE)="כן",K90&gt;0),הגדרות!$B$18,הגדרות!$B$19),הגדרות!$B$21)</f>
        <v/>
      </c>
      <c r="P90" s="253" t="b">
        <f t="shared" si="20"/>
        <v>1</v>
      </c>
      <c r="Q90" s="253" t="b">
        <f t="shared" si="21"/>
        <v>0</v>
      </c>
      <c r="R90" s="253" t="str">
        <f>IF(O90=הגדרות!$B$21,הגדרות!$B$25,IF(AND(OR(תקציב!O90=הגדרות!$B$17,תקציב!O90=הגדרות!$B$18,תקציב!O90=הגדרות!$B$22),ISBLANK(תקציב!M90)),הגדרות!$B$25,הגדרות!$B$24))</f>
        <v>כן</v>
      </c>
      <c r="S90" s="254">
        <f>IF(R90=הגדרות!$B$24,1,-1)</f>
        <v>1</v>
      </c>
    </row>
    <row r="91" spans="2:19" ht="17.100000000000001" customHeight="1" x14ac:dyDescent="0.25">
      <c r="B91" s="382"/>
      <c r="C91" s="318"/>
      <c r="D91" s="146" t="str">
        <f>IFERROR(VLOOKUP($B$3,'מק"ט'!$B$2:$C$27,2,FALSE)&amp;VLOOKUP(H91,'מק"ט'!D:E,2,FALSE)&amp;VLOOKUP(E91,'מק"ט'!H:I,2,FALSE),"")</f>
        <v/>
      </c>
      <c r="E91" s="348" t="s">
        <v>210</v>
      </c>
      <c r="F91" s="349"/>
      <c r="G91" s="155" t="s">
        <v>78</v>
      </c>
      <c r="H91" s="150"/>
      <c r="I91" s="209"/>
      <c r="J91" s="212"/>
      <c r="K91" s="252">
        <f t="shared" si="16"/>
        <v>0</v>
      </c>
      <c r="L91" s="252" t="str">
        <f t="shared" si="17"/>
        <v/>
      </c>
      <c r="M91" s="385"/>
      <c r="N91" s="385"/>
      <c r="O91" s="249" t="str">
        <f>IF(OR(Q91,P91),IF(AND(VLOOKUP(E91,Таблица3345[[#All],[הוצאה]:[פירוט הוצאות]],3,FALSE)="כן",K91&gt;0),הגדרות!$B$18,הגדרות!$B$19),הגדרות!$B$21)</f>
        <v/>
      </c>
      <c r="P91" s="253" t="b">
        <f t="shared" si="20"/>
        <v>1</v>
      </c>
      <c r="Q91" s="253" t="b">
        <f t="shared" si="21"/>
        <v>0</v>
      </c>
      <c r="R91" s="253" t="str">
        <f>IF(O91=הגדרות!$B$21,הגדרות!$B$25,IF(AND(OR(תקציב!O91=הגדרות!$B$17,תקציב!O91=הגדרות!$B$18,תקציב!O91=הגדרות!$B$22),ISBLANK(תקציב!M91)),הגדרות!$B$25,הגדרות!$B$24))</f>
        <v>כן</v>
      </c>
      <c r="S91" s="254">
        <f>IF(R91=הגדרות!$B$24,1,-1)</f>
        <v>1</v>
      </c>
    </row>
    <row r="92" spans="2:19" ht="17.100000000000001" customHeight="1" x14ac:dyDescent="0.25">
      <c r="B92" s="382"/>
      <c r="C92" s="318"/>
      <c r="D92" s="146" t="str">
        <f>IFERROR(VLOOKUP($B$3,'מק"ט'!$B$2:$C$27,2,FALSE)&amp;VLOOKUP(H92,'מק"ט'!D:E,2,FALSE)&amp;VLOOKUP(E92,'מק"ט'!H:I,2,FALSE),"")</f>
        <v/>
      </c>
      <c r="E92" s="348" t="s">
        <v>210</v>
      </c>
      <c r="F92" s="349"/>
      <c r="G92" s="155" t="s">
        <v>78</v>
      </c>
      <c r="H92" s="150"/>
      <c r="I92" s="209"/>
      <c r="J92" s="212"/>
      <c r="K92" s="252">
        <f t="shared" si="16"/>
        <v>0</v>
      </c>
      <c r="L92" s="252" t="str">
        <f t="shared" si="17"/>
        <v/>
      </c>
      <c r="M92" s="385"/>
      <c r="N92" s="385"/>
      <c r="O92" s="249" t="str">
        <f>IF(OR(Q92,P92),IF(AND(VLOOKUP(E92,Таблица3345[[#All],[הוצאה]:[פירוט הוצאות]],3,FALSE)="כן",K92&gt;0),הגדרות!$B$18,הגדרות!$B$19),הגדרות!$B$21)</f>
        <v/>
      </c>
      <c r="P92" s="253" t="b">
        <f t="shared" si="20"/>
        <v>1</v>
      </c>
      <c r="Q92" s="253" t="b">
        <f t="shared" si="21"/>
        <v>0</v>
      </c>
      <c r="R92" s="253" t="str">
        <f>IF(O92=הגדרות!$B$21,הגדרות!$B$25,IF(AND(OR(תקציב!O92=הגדרות!$B$17,תקציב!O92=הגדרות!$B$18,תקציב!O92=הגדרות!$B$22),ISBLANK(תקציב!M92)),הגדרות!$B$25,הגדרות!$B$24))</f>
        <v>כן</v>
      </c>
      <c r="S92" s="254">
        <f>IF(R92=הגדרות!$B$24,1,-1)</f>
        <v>1</v>
      </c>
    </row>
    <row r="93" spans="2:19" ht="17.100000000000001" customHeight="1" thickBot="1" x14ac:dyDescent="0.3">
      <c r="B93" s="384"/>
      <c r="C93" s="318"/>
      <c r="D93" s="146" t="str">
        <f>IFERROR(VLOOKUP($B$3,'מק"ט'!$B$2:$C$27,2,FALSE)&amp;VLOOKUP(H93,'מק"ט'!D:E,2,FALSE)&amp;VLOOKUP(E93,'מק"ט'!H:I,2,FALSE),"")</f>
        <v/>
      </c>
      <c r="E93" s="348" t="s">
        <v>210</v>
      </c>
      <c r="F93" s="349"/>
      <c r="G93" s="151" t="s">
        <v>78</v>
      </c>
      <c r="H93" s="150"/>
      <c r="I93" s="209"/>
      <c r="J93" s="212"/>
      <c r="K93" s="255">
        <f t="shared" si="16"/>
        <v>0</v>
      </c>
      <c r="L93" s="255" t="str">
        <f t="shared" si="17"/>
        <v/>
      </c>
      <c r="M93" s="385"/>
      <c r="N93" s="385"/>
      <c r="O93" s="249" t="str">
        <f>IF(OR(Q93,P93),IF(AND(VLOOKUP(E93,Таблица3345[[#All],[הוצאה]:[פירוט הוצאות]],3,FALSE)="כן",K93&gt;0),הגדרות!$B$18,הגדרות!$B$19),הגדרות!$B$21)</f>
        <v/>
      </c>
      <c r="P93" s="256" t="b">
        <f t="shared" si="20"/>
        <v>1</v>
      </c>
      <c r="Q93" s="256" t="b">
        <f t="shared" si="21"/>
        <v>0</v>
      </c>
      <c r="R93" s="256" t="str">
        <f>IF(O93=הגדרות!$B$21,הגדרות!$B$25,IF(AND(OR(תקציב!O93=הגדרות!$B$17,תקציב!O93=הגדרות!$B$18,תקציב!O93=הגדרות!$B$22),ISBLANK(תקציב!M93)),הגדרות!$B$25,הגדרות!$B$24))</f>
        <v>כן</v>
      </c>
      <c r="S93" s="260">
        <f>IF(R93=הגדרות!$B$24,1,-1)</f>
        <v>1</v>
      </c>
    </row>
    <row r="94" spans="2:19" ht="18.75" thickBot="1" x14ac:dyDescent="0.25">
      <c r="B94" s="164"/>
      <c r="C94" s="148"/>
      <c r="D94" s="148"/>
      <c r="E94" s="336" t="s">
        <v>259</v>
      </c>
      <c r="F94" s="337"/>
      <c r="G94" s="164"/>
      <c r="H94" s="148"/>
      <c r="I94" s="148"/>
      <c r="J94" s="257"/>
      <c r="K94" s="266">
        <f>SUM(K68:K93)</f>
        <v>0</v>
      </c>
      <c r="L94" s="266">
        <f>SUM(L68:L93)</f>
        <v>0</v>
      </c>
      <c r="M94" s="289"/>
      <c r="N94" s="289"/>
      <c r="O94" s="243"/>
      <c r="P94" s="148"/>
      <c r="Q94" s="148"/>
      <c r="R94" s="148"/>
      <c r="S94" s="258"/>
    </row>
    <row r="95" spans="2:19" ht="17.100000000000001" customHeight="1" x14ac:dyDescent="0.25">
      <c r="B95" s="383" t="s">
        <v>173</v>
      </c>
      <c r="C95" s="318"/>
      <c r="D95" s="146" t="str">
        <f>IFERROR(VLOOKUP($B$3,'מק"ט'!$B$2:$C$27,2,FALSE)&amp;VLOOKUP(H95,'מק"ט'!D:E,2,FALSE)&amp;VLOOKUP(E95,'מק"ט'!H:I,2,FALSE),"")</f>
        <v/>
      </c>
      <c r="E95" s="348" t="s">
        <v>215</v>
      </c>
      <c r="F95" s="349"/>
      <c r="G95" s="155" t="s">
        <v>78</v>
      </c>
      <c r="H95" s="150"/>
      <c r="I95" s="209"/>
      <c r="J95" s="212"/>
      <c r="K95" s="252">
        <f t="shared" ref="K95:K111" si="22">IF(G95="-",I95*J95,G95*I95*J95)</f>
        <v>0</v>
      </c>
      <c r="L95" s="252" t="str">
        <f t="shared" ref="L95:L111" si="23">IFERROR(K95/$D$7,"")</f>
        <v/>
      </c>
      <c r="M95" s="385"/>
      <c r="N95" s="385"/>
      <c r="O95" s="249" t="str">
        <f>IF(OR(Q95,P95),IF(AND(VLOOKUP(E95,Таблица3345[[#All],[הוצאה]:[פירוט הוצאות]],3,FALSE)="כן",K95&gt;0),הגדרות!$B$18,הגדרות!$B$19),הגדרות!$B$21)</f>
        <v/>
      </c>
      <c r="P95" s="253" t="b">
        <f t="shared" ref="P95:P111" si="24">AND(ISBLANK(H95),OR(ISBLANK(I95),I95=0),OR(ISBLANK(J95),J95=0))</f>
        <v>1</v>
      </c>
      <c r="Q95" s="253" t="b">
        <f t="shared" ref="Q95:Q111" si="25">AND(H95&gt;0,I95&gt;0,J95&gt;0)</f>
        <v>0</v>
      </c>
      <c r="R95" s="253" t="str">
        <f>IF(O95=הגדרות!$B$21,הגדרות!$B$25,IF(AND(OR(תקציב!O95=הגדרות!$B$17,תקציב!O95=הגדרות!$B$18,תקציב!O95=הגדרות!$B$22),ISBLANK(תקציב!M95)),הגדרות!$B$25,הגדרות!$B$24))</f>
        <v>כן</v>
      </c>
      <c r="S95" s="254">
        <f>IF(R95=הגדרות!$B$24,1,-1)</f>
        <v>1</v>
      </c>
    </row>
    <row r="96" spans="2:19" ht="17.100000000000001" customHeight="1" x14ac:dyDescent="0.25">
      <c r="B96" s="382"/>
      <c r="C96" s="318"/>
      <c r="D96" s="146" t="str">
        <f>IFERROR(VLOOKUP($B$3,'מק"ט'!$B$2:$C$27,2,FALSE)&amp;VLOOKUP(H96,'מק"ט'!D:E,2,FALSE)&amp;VLOOKUP(E96,'מק"ט'!H:I,2,FALSE),"")</f>
        <v/>
      </c>
      <c r="E96" s="348" t="s">
        <v>216</v>
      </c>
      <c r="F96" s="349"/>
      <c r="G96" s="155" t="s">
        <v>78</v>
      </c>
      <c r="H96" s="150"/>
      <c r="I96" s="209"/>
      <c r="J96" s="212"/>
      <c r="K96" s="252">
        <f t="shared" si="22"/>
        <v>0</v>
      </c>
      <c r="L96" s="252" t="str">
        <f t="shared" si="23"/>
        <v/>
      </c>
      <c r="M96" s="385"/>
      <c r="N96" s="385"/>
      <c r="O96" s="249" t="str">
        <f>IF(OR(Q96,P96),IF(AND(VLOOKUP(E96,Таблица3345[[#All],[הוצאה]:[פירוט הוצאות]],3,FALSE)="כן",K96&gt;0),הגדרות!$B$18,הגדרות!$B$19),הגדרות!$B$21)</f>
        <v/>
      </c>
      <c r="P96" s="253" t="b">
        <f t="shared" si="24"/>
        <v>1</v>
      </c>
      <c r="Q96" s="253" t="b">
        <f t="shared" si="25"/>
        <v>0</v>
      </c>
      <c r="R96" s="253" t="str">
        <f>IF(O96=הגדרות!$B$21,הגדרות!$B$25,IF(AND(OR(תקציב!O96=הגדרות!$B$17,תקציב!O96=הגדרות!$B$18,תקציב!O96=הגדרות!$B$22),ISBLANK(תקציב!M96)),הגדרות!$B$25,הגדרות!$B$24))</f>
        <v>כן</v>
      </c>
      <c r="S96" s="254">
        <f>IF(R96=הגדרות!$B$24,1,-1)</f>
        <v>1</v>
      </c>
    </row>
    <row r="97" spans="2:19" ht="17.100000000000001" customHeight="1" x14ac:dyDescent="0.25">
      <c r="B97" s="382"/>
      <c r="C97" s="318"/>
      <c r="D97" s="146" t="str">
        <f>IFERROR(VLOOKUP($B$3,'מק"ט'!$B$2:$C$27,2,FALSE)&amp;VLOOKUP(H97,'מק"ט'!D:E,2,FALSE)&amp;VLOOKUP(E97,'מק"ט'!H:I,2,FALSE),"")</f>
        <v/>
      </c>
      <c r="E97" s="348" t="s">
        <v>217</v>
      </c>
      <c r="F97" s="349"/>
      <c r="G97" s="155" t="s">
        <v>78</v>
      </c>
      <c r="H97" s="150"/>
      <c r="I97" s="209"/>
      <c r="J97" s="212"/>
      <c r="K97" s="252">
        <f t="shared" si="22"/>
        <v>0</v>
      </c>
      <c r="L97" s="252" t="str">
        <f t="shared" si="23"/>
        <v/>
      </c>
      <c r="M97" s="385"/>
      <c r="N97" s="385"/>
      <c r="O97" s="249" t="str">
        <f>IF(OR(Q97,P97),IF(AND(VLOOKUP(E97,Таблица3345[[#All],[הוצאה]:[פירוט הוצאות]],3,FALSE)="כן",K97&gt;0),הגדרות!$B$18,הגדרות!$B$19),הגדרות!$B$21)</f>
        <v/>
      </c>
      <c r="P97" s="253" t="b">
        <f t="shared" si="24"/>
        <v>1</v>
      </c>
      <c r="Q97" s="253" t="b">
        <f t="shared" si="25"/>
        <v>0</v>
      </c>
      <c r="R97" s="253" t="str">
        <f>IF(O97=הגדרות!$B$21,הגדרות!$B$25,IF(AND(OR(תקציב!O97=הגדרות!$B$17,תקציב!O97=הגדרות!$B$18,תקציב!O97=הגדרות!$B$22),ISBLANK(תקציב!M97)),הגדרות!$B$25,הגדרות!$B$24))</f>
        <v>כן</v>
      </c>
      <c r="S97" s="254">
        <f>IF(R97=הגדרות!$B$24,1,-1)</f>
        <v>1</v>
      </c>
    </row>
    <row r="98" spans="2:19" ht="17.100000000000001" customHeight="1" x14ac:dyDescent="0.25">
      <c r="B98" s="382"/>
      <c r="C98" s="318"/>
      <c r="D98" s="146" t="str">
        <f>IFERROR(VLOOKUP($B$3,'מק"ט'!$B$2:$C$27,2,FALSE)&amp;VLOOKUP(H98,'מק"ט'!D:E,2,FALSE)&amp;VLOOKUP(E98,'מק"ט'!H:I,2,FALSE),"")</f>
        <v/>
      </c>
      <c r="E98" s="348" t="s">
        <v>219</v>
      </c>
      <c r="F98" s="349"/>
      <c r="G98" s="155" t="s">
        <v>78</v>
      </c>
      <c r="H98" s="150"/>
      <c r="I98" s="209"/>
      <c r="J98" s="212"/>
      <c r="K98" s="252">
        <f t="shared" si="22"/>
        <v>0</v>
      </c>
      <c r="L98" s="252" t="str">
        <f t="shared" si="23"/>
        <v/>
      </c>
      <c r="M98" s="385"/>
      <c r="N98" s="385"/>
      <c r="O98" s="249" t="str">
        <f>IF(OR(Q98,P98),IF(AND(VLOOKUP(E98,Таблица3345[[#All],[הוצאה]:[פירוט הוצאות]],3,FALSE)="כן",K98&gt;0),הגדרות!$B$18,הגדרות!$B$19),הגדרות!$B$21)</f>
        <v/>
      </c>
      <c r="P98" s="253" t="b">
        <f t="shared" si="24"/>
        <v>1</v>
      </c>
      <c r="Q98" s="253" t="b">
        <f t="shared" si="25"/>
        <v>0</v>
      </c>
      <c r="R98" s="253" t="str">
        <f>IF(O98=הגדרות!$B$21,הגדרות!$B$25,IF(AND(OR(תקציב!O98=הגדרות!$B$17,תקציב!O98=הגדרות!$B$18,תקציב!O98=הגדרות!$B$22),ISBLANK(תקציב!M98)),הגדרות!$B$25,הגדרות!$B$24))</f>
        <v>כן</v>
      </c>
      <c r="S98" s="254">
        <f>IF(R98=הגדרות!$B$24,1,-1)</f>
        <v>1</v>
      </c>
    </row>
    <row r="99" spans="2:19" ht="17.100000000000001" customHeight="1" x14ac:dyDescent="0.25">
      <c r="B99" s="382"/>
      <c r="C99" s="318"/>
      <c r="D99" s="146" t="str">
        <f>IFERROR(VLOOKUP($B$3,'מק"ט'!$B$2:$C$27,2,FALSE)&amp;VLOOKUP(H99,'מק"ט'!D:E,2,FALSE)&amp;VLOOKUP(E99,'מק"ט'!H:I,2,FALSE),"")</f>
        <v/>
      </c>
      <c r="E99" s="348" t="s">
        <v>220</v>
      </c>
      <c r="F99" s="349"/>
      <c r="G99" s="155" t="s">
        <v>78</v>
      </c>
      <c r="H99" s="150"/>
      <c r="I99" s="209"/>
      <c r="J99" s="212"/>
      <c r="K99" s="252">
        <f t="shared" si="22"/>
        <v>0</v>
      </c>
      <c r="L99" s="252" t="str">
        <f t="shared" si="23"/>
        <v/>
      </c>
      <c r="M99" s="385"/>
      <c r="N99" s="385"/>
      <c r="O99" s="249" t="str">
        <f>IF(OR(Q99,P99),IF(AND(VLOOKUP(E99,Таблица3345[[#All],[הוצאה]:[פירוט הוצאות]],3,FALSE)="כן",K99&gt;0),הגדרות!$B$18,הגדרות!$B$19),הגדרות!$B$21)</f>
        <v/>
      </c>
      <c r="P99" s="253" t="b">
        <f t="shared" si="24"/>
        <v>1</v>
      </c>
      <c r="Q99" s="253" t="b">
        <f t="shared" si="25"/>
        <v>0</v>
      </c>
      <c r="R99" s="253" t="str">
        <f>IF(O99=הגדרות!$B$21,הגדרות!$B$25,IF(AND(OR(תקציב!O99=הגדרות!$B$17,תקציב!O99=הגדרות!$B$18,תקציב!O99=הגדרות!$B$22),ISBLANK(תקציב!M99)),הגדרות!$B$25,הגדרות!$B$24))</f>
        <v>כן</v>
      </c>
      <c r="S99" s="254">
        <f>IF(R99=הגדרות!$B$24,1,-1)</f>
        <v>1</v>
      </c>
    </row>
    <row r="100" spans="2:19" ht="17.100000000000001" customHeight="1" x14ac:dyDescent="0.25">
      <c r="B100" s="382"/>
      <c r="C100" s="318"/>
      <c r="D100" s="146" t="str">
        <f>IFERROR(VLOOKUP($B$3,'מק"ט'!$B$2:$C$27,2,FALSE)&amp;VLOOKUP(H100,'מק"ט'!D:E,2,FALSE)&amp;VLOOKUP(E100,'מק"ט'!H:I,2,FALSE),"")</f>
        <v/>
      </c>
      <c r="E100" s="348" t="s">
        <v>220</v>
      </c>
      <c r="F100" s="349"/>
      <c r="G100" s="155" t="s">
        <v>78</v>
      </c>
      <c r="H100" s="150"/>
      <c r="I100" s="209"/>
      <c r="J100" s="212"/>
      <c r="K100" s="252">
        <f t="shared" si="22"/>
        <v>0</v>
      </c>
      <c r="L100" s="252" t="str">
        <f t="shared" si="23"/>
        <v/>
      </c>
      <c r="M100" s="385"/>
      <c r="N100" s="385"/>
      <c r="O100" s="249" t="str">
        <f>IF(OR(Q100,P100),IF(AND(VLOOKUP(E100,Таблица3345[[#All],[הוצאה]:[פירוט הוצאות]],3,FALSE)="כן",K100&gt;0),הגדרות!$B$18,הגדרות!$B$19),הגדרות!$B$21)</f>
        <v/>
      </c>
      <c r="P100" s="253" t="b">
        <f t="shared" si="24"/>
        <v>1</v>
      </c>
      <c r="Q100" s="253" t="b">
        <f t="shared" si="25"/>
        <v>0</v>
      </c>
      <c r="R100" s="253" t="str">
        <f>IF(O100=הגדרות!$B$21,הגדרות!$B$25,IF(AND(OR(תקציב!O100=הגדרות!$B$17,תקציב!O100=הגדרות!$B$18,תקציב!O100=הגדרות!$B$22),ISBLANK(תקציב!M100)),הגדרות!$B$25,הגדרות!$B$24))</f>
        <v>כן</v>
      </c>
      <c r="S100" s="254">
        <f>IF(R100=הגדרות!$B$24,1,-1)</f>
        <v>1</v>
      </c>
    </row>
    <row r="101" spans="2:19" ht="17.100000000000001" customHeight="1" x14ac:dyDescent="0.25">
      <c r="B101" s="382"/>
      <c r="C101" s="318"/>
      <c r="D101" s="146" t="str">
        <f>IFERROR(VLOOKUP($B$3,'מק"ט'!$B$2:$C$27,2,FALSE)&amp;VLOOKUP(H101,'מק"ט'!D:E,2,FALSE)&amp;VLOOKUP(E101,'מק"ט'!H:I,2,FALSE),"")</f>
        <v/>
      </c>
      <c r="E101" s="348" t="s">
        <v>220</v>
      </c>
      <c r="F101" s="349"/>
      <c r="G101" s="155" t="s">
        <v>78</v>
      </c>
      <c r="H101" s="150"/>
      <c r="I101" s="209"/>
      <c r="J101" s="212"/>
      <c r="K101" s="252">
        <f t="shared" si="22"/>
        <v>0</v>
      </c>
      <c r="L101" s="252" t="str">
        <f t="shared" si="23"/>
        <v/>
      </c>
      <c r="M101" s="385"/>
      <c r="N101" s="385"/>
      <c r="O101" s="249" t="str">
        <f>IF(OR(Q101,P101),IF(AND(VLOOKUP(E101,Таблица3345[[#All],[הוצאה]:[פירוט הוצאות]],3,FALSE)="כן",K101&gt;0),הגדרות!$B$18,הגדרות!$B$19),הגדרות!$B$21)</f>
        <v/>
      </c>
      <c r="P101" s="253" t="b">
        <f t="shared" si="24"/>
        <v>1</v>
      </c>
      <c r="Q101" s="253" t="b">
        <f t="shared" si="25"/>
        <v>0</v>
      </c>
      <c r="R101" s="253" t="str">
        <f>IF(O101=הגדרות!$B$21,הגדרות!$B$25,IF(AND(OR(תקציב!O101=הגדרות!$B$17,תקציב!O101=הגדרות!$B$18,תקציב!O101=הגדרות!$B$22),ISBLANK(תקציב!M101)),הגדרות!$B$25,הגדרות!$B$24))</f>
        <v>כן</v>
      </c>
      <c r="S101" s="254">
        <f>IF(R101=הגדרות!$B$24,1,-1)</f>
        <v>1</v>
      </c>
    </row>
    <row r="102" spans="2:19" ht="17.100000000000001" customHeight="1" x14ac:dyDescent="0.25">
      <c r="B102" s="382"/>
      <c r="C102" s="318"/>
      <c r="D102" s="146" t="str">
        <f>IFERROR(VLOOKUP($B$3,'מק"ט'!$B$2:$C$27,2,FALSE)&amp;VLOOKUP(H102,'מק"ט'!D:E,2,FALSE)&amp;VLOOKUP(E102,'מק"ט'!H:I,2,FALSE),"")</f>
        <v/>
      </c>
      <c r="E102" s="348" t="s">
        <v>220</v>
      </c>
      <c r="F102" s="349"/>
      <c r="G102" s="155" t="s">
        <v>78</v>
      </c>
      <c r="H102" s="150"/>
      <c r="I102" s="209"/>
      <c r="J102" s="212"/>
      <c r="K102" s="252">
        <f t="shared" si="22"/>
        <v>0</v>
      </c>
      <c r="L102" s="252" t="str">
        <f t="shared" si="23"/>
        <v/>
      </c>
      <c r="M102" s="385"/>
      <c r="N102" s="385"/>
      <c r="O102" s="249" t="str">
        <f>IF(OR(Q102,P102),IF(AND(VLOOKUP(E102,Таблица3345[[#All],[הוצאה]:[פירוט הוצאות]],3,FALSE)="כן",K102&gt;0),הגדרות!$B$18,הגדרות!$B$19),הגדרות!$B$21)</f>
        <v/>
      </c>
      <c r="P102" s="253" t="b">
        <f t="shared" si="24"/>
        <v>1</v>
      </c>
      <c r="Q102" s="253" t="b">
        <f t="shared" si="25"/>
        <v>0</v>
      </c>
      <c r="R102" s="253" t="str">
        <f>IF(O102=הגדרות!$B$21,הגדרות!$B$25,IF(AND(OR(תקציב!O102=הגדרות!$B$17,תקציב!O102=הגדרות!$B$18,תקציב!O102=הגדרות!$B$22),ISBLANK(תקציב!M102)),הגדרות!$B$25,הגדרות!$B$24))</f>
        <v>כן</v>
      </c>
      <c r="S102" s="254">
        <f>IF(R102=הגדרות!$B$24,1,-1)</f>
        <v>1</v>
      </c>
    </row>
    <row r="103" spans="2:19" ht="17.100000000000001" customHeight="1" x14ac:dyDescent="0.25">
      <c r="B103" s="382"/>
      <c r="C103" s="318"/>
      <c r="D103" s="146" t="str">
        <f>IFERROR(VLOOKUP($B$3,'מק"ט'!$B$2:$C$27,2,FALSE)&amp;VLOOKUP(H103,'מק"ט'!D:E,2,FALSE)&amp;VLOOKUP(E103,'מק"ט'!H:I,2,FALSE),"")</f>
        <v/>
      </c>
      <c r="E103" s="348" t="s">
        <v>221</v>
      </c>
      <c r="F103" s="349"/>
      <c r="G103" s="155" t="s">
        <v>78</v>
      </c>
      <c r="H103" s="150"/>
      <c r="I103" s="209"/>
      <c r="J103" s="212"/>
      <c r="K103" s="252">
        <f t="shared" si="22"/>
        <v>0</v>
      </c>
      <c r="L103" s="252" t="str">
        <f t="shared" si="23"/>
        <v/>
      </c>
      <c r="M103" s="385"/>
      <c r="N103" s="385"/>
      <c r="O103" s="249" t="str">
        <f>IF(OR(Q103,P103),IF(AND(VLOOKUP(E103,Таблица3345[[#All],[הוצאה]:[פירוט הוצאות]],3,FALSE)="כן",K103&gt;0),הגדרות!$B$18,הגדרות!$B$19),הגדרות!$B$21)</f>
        <v/>
      </c>
      <c r="P103" s="253" t="b">
        <f t="shared" si="24"/>
        <v>1</v>
      </c>
      <c r="Q103" s="253" t="b">
        <f t="shared" si="25"/>
        <v>0</v>
      </c>
      <c r="R103" s="253" t="str">
        <f>IF(O103=הגדרות!$B$21,הגדרות!$B$25,IF(AND(OR(תקציב!O103=הגדרות!$B$17,תקציב!O103=הגדרות!$B$18,תקציב!O103=הגדרות!$B$22),ISBLANK(תקציב!M103)),הגדרות!$B$25,הגדרות!$B$24))</f>
        <v>כן</v>
      </c>
      <c r="S103" s="254">
        <f>IF(R103=הגדרות!$B$24,1,-1)</f>
        <v>1</v>
      </c>
    </row>
    <row r="104" spans="2:19" ht="17.100000000000001" customHeight="1" x14ac:dyDescent="0.25">
      <c r="B104" s="382"/>
      <c r="C104" s="318"/>
      <c r="D104" s="146" t="str">
        <f>IFERROR(VLOOKUP($B$3,'מק"ט'!$B$2:$C$27,2,FALSE)&amp;VLOOKUP(H104,'מק"ט'!D:E,2,FALSE)&amp;VLOOKUP(E104,'מק"ט'!H:I,2,FALSE),"")</f>
        <v/>
      </c>
      <c r="E104" s="348" t="s">
        <v>102</v>
      </c>
      <c r="F104" s="349"/>
      <c r="G104" s="155" t="s">
        <v>78</v>
      </c>
      <c r="H104" s="150"/>
      <c r="I104" s="209"/>
      <c r="J104" s="212"/>
      <c r="K104" s="252">
        <f t="shared" si="22"/>
        <v>0</v>
      </c>
      <c r="L104" s="252" t="str">
        <f t="shared" si="23"/>
        <v/>
      </c>
      <c r="M104" s="385"/>
      <c r="N104" s="385"/>
      <c r="O104" s="249" t="str">
        <f>IF(OR(Q104,P104),IF(AND(VLOOKUP(E104,Таблица3345[[#All],[הוצאה]:[פירוט הוצאות]],3,FALSE)="כן",K104&gt;0),הגדרות!$B$18,הגדרות!$B$19),הגדרות!$B$21)</f>
        <v/>
      </c>
      <c r="P104" s="253" t="b">
        <f t="shared" si="24"/>
        <v>1</v>
      </c>
      <c r="Q104" s="253" t="b">
        <f t="shared" si="25"/>
        <v>0</v>
      </c>
      <c r="R104" s="253" t="str">
        <f>IF(O104=הגדרות!$B$21,הגדרות!$B$25,IF(AND(OR(תקציב!O104=הגדרות!$B$17,תקציב!O104=הגדרות!$B$18,תקציב!O104=הגדרות!$B$22),ISBLANK(תקציב!M104)),הגדרות!$B$25,הגדרות!$B$24))</f>
        <v>כן</v>
      </c>
      <c r="S104" s="254">
        <f>IF(R104=הגדרות!$B$24,1,-1)</f>
        <v>1</v>
      </c>
    </row>
    <row r="105" spans="2:19" ht="17.100000000000001" customHeight="1" x14ac:dyDescent="0.25">
      <c r="B105" s="382"/>
      <c r="C105" s="318"/>
      <c r="D105" s="146" t="str">
        <f>IFERROR(VLOOKUP($B$3,'מק"ט'!$B$2:$C$27,2,FALSE)&amp;VLOOKUP(H105,'מק"ט'!D:E,2,FALSE)&amp;VLOOKUP(E105,'מק"ט'!H:I,2,FALSE),"")</f>
        <v/>
      </c>
      <c r="E105" s="348" t="s">
        <v>103</v>
      </c>
      <c r="F105" s="349"/>
      <c r="G105" s="155" t="s">
        <v>78</v>
      </c>
      <c r="H105" s="150"/>
      <c r="I105" s="209"/>
      <c r="J105" s="212"/>
      <c r="K105" s="252">
        <f t="shared" si="22"/>
        <v>0</v>
      </c>
      <c r="L105" s="252" t="str">
        <f t="shared" si="23"/>
        <v/>
      </c>
      <c r="M105" s="385"/>
      <c r="N105" s="385"/>
      <c r="O105" s="249" t="str">
        <f>IF(OR(Q105,P105),IF(AND(VLOOKUP(E105,Таблица3345[[#All],[הוצאה]:[פירוט הוצאות]],3,FALSE)="כן",K105&gt;0),הגדרות!$B$18,הגדרות!$B$19),הגדרות!$B$21)</f>
        <v/>
      </c>
      <c r="P105" s="253" t="b">
        <f t="shared" si="24"/>
        <v>1</v>
      </c>
      <c r="Q105" s="253" t="b">
        <f t="shared" si="25"/>
        <v>0</v>
      </c>
      <c r="R105" s="253" t="str">
        <f>IF(O105=הגדרות!$B$21,הגדרות!$B$25,IF(AND(OR(תקציב!O105=הגדרות!$B$17,תקציב!O105=הגדרות!$B$18,תקציב!O105=הגדרות!$B$22),ISBLANK(תקציב!M105)),הגדרות!$B$25,הגדרות!$B$24))</f>
        <v>כן</v>
      </c>
      <c r="S105" s="254">
        <f>IF(R105=הגדרות!$B$24,1,-1)</f>
        <v>1</v>
      </c>
    </row>
    <row r="106" spans="2:19" ht="17.100000000000001" customHeight="1" x14ac:dyDescent="0.25">
      <c r="B106" s="382"/>
      <c r="C106" s="318"/>
      <c r="D106" s="146" t="str">
        <f>IFERROR(VLOOKUP($B$3,'מק"ט'!$B$2:$C$27,2,FALSE)&amp;VLOOKUP(H106,'מק"ט'!D:E,2,FALSE)&amp;VLOOKUP(E106,'מק"ט'!H:I,2,FALSE),"")</f>
        <v/>
      </c>
      <c r="E106" s="348" t="s">
        <v>104</v>
      </c>
      <c r="F106" s="349"/>
      <c r="G106" s="155" t="s">
        <v>78</v>
      </c>
      <c r="H106" s="150"/>
      <c r="I106" s="209"/>
      <c r="J106" s="212"/>
      <c r="K106" s="252">
        <f t="shared" si="22"/>
        <v>0</v>
      </c>
      <c r="L106" s="252" t="str">
        <f t="shared" si="23"/>
        <v/>
      </c>
      <c r="M106" s="385"/>
      <c r="N106" s="385"/>
      <c r="O106" s="249" t="str">
        <f>IF(OR(Q106,P106),IF(AND(VLOOKUP(E106,Таблица3345[[#All],[הוצאה]:[פירוט הוצאות]],3,FALSE)="כן",K106&gt;0),הגדרות!$B$18,הגדרות!$B$19),הגדרות!$B$21)</f>
        <v/>
      </c>
      <c r="P106" s="253" t="b">
        <f t="shared" si="24"/>
        <v>1</v>
      </c>
      <c r="Q106" s="253" t="b">
        <f t="shared" si="25"/>
        <v>0</v>
      </c>
      <c r="R106" s="253" t="str">
        <f>IF(O106=הגדרות!$B$21,הגדרות!$B$25,IF(AND(OR(תקציב!O106=הגדרות!$B$17,תקציב!O106=הגדרות!$B$18,תקציב!O106=הגדרות!$B$22),ISBLANK(תקציב!M106)),הגדרות!$B$25,הגדרות!$B$24))</f>
        <v>כן</v>
      </c>
      <c r="S106" s="254">
        <f>IF(R106=הגדרות!$B$24,1,-1)</f>
        <v>1</v>
      </c>
    </row>
    <row r="107" spans="2:19" ht="17.100000000000001" customHeight="1" x14ac:dyDescent="0.25">
      <c r="B107" s="382"/>
      <c r="C107" s="318"/>
      <c r="D107" s="146" t="str">
        <f>IFERROR(VLOOKUP($B$3,'מק"ט'!$B$2:$C$27,2,FALSE)&amp;VLOOKUP(H107,'מק"ט'!D:E,2,FALSE)&amp;VLOOKUP(E107,'מק"ט'!H:I,2,FALSE),"")</f>
        <v/>
      </c>
      <c r="E107" s="348" t="s">
        <v>20</v>
      </c>
      <c r="F107" s="349"/>
      <c r="G107" s="155" t="s">
        <v>78</v>
      </c>
      <c r="H107" s="150"/>
      <c r="I107" s="209"/>
      <c r="J107" s="212"/>
      <c r="K107" s="252">
        <f t="shared" si="22"/>
        <v>0</v>
      </c>
      <c r="L107" s="252" t="str">
        <f t="shared" si="23"/>
        <v/>
      </c>
      <c r="M107" s="385"/>
      <c r="N107" s="385"/>
      <c r="O107" s="249" t="str">
        <f>IF(OR(Q107,P107),IF(AND(VLOOKUP(E107,Таблица3345[[#All],[הוצאה]:[פירוט הוצאות]],3,FALSE)="כן",K107&gt;0),הגדרות!$B$18,הגדרות!$B$19),הגדרות!$B$21)</f>
        <v/>
      </c>
      <c r="P107" s="253" t="b">
        <f t="shared" si="24"/>
        <v>1</v>
      </c>
      <c r="Q107" s="253" t="b">
        <f t="shared" si="25"/>
        <v>0</v>
      </c>
      <c r="R107" s="253" t="str">
        <f>IF(O107=הגדרות!$B$21,הגדרות!$B$25,IF(AND(OR(תקציב!O107=הגדרות!$B$17,תקציב!O107=הגדרות!$B$18,תקציב!O107=הגדרות!$B$22),ISBLANK(תקציב!M107)),הגדרות!$B$25,הגדרות!$B$24))</f>
        <v>כן</v>
      </c>
      <c r="S107" s="254">
        <f>IF(R107=הגדרות!$B$24,1,-1)</f>
        <v>1</v>
      </c>
    </row>
    <row r="108" spans="2:19" ht="17.100000000000001" customHeight="1" x14ac:dyDescent="0.25">
      <c r="B108" s="382"/>
      <c r="C108" s="318"/>
      <c r="D108" s="146" t="str">
        <f>IFERROR(VLOOKUP($B$3,'מק"ט'!$B$2:$C$27,2,FALSE)&amp;VLOOKUP(H108,'מק"ט'!D:E,2,FALSE)&amp;VLOOKUP(E108,'מק"ט'!H:I,2,FALSE),"")</f>
        <v/>
      </c>
      <c r="E108" s="348" t="s">
        <v>20</v>
      </c>
      <c r="F108" s="349"/>
      <c r="G108" s="155" t="s">
        <v>78</v>
      </c>
      <c r="H108" s="150"/>
      <c r="I108" s="209"/>
      <c r="J108" s="212"/>
      <c r="K108" s="252">
        <f t="shared" si="22"/>
        <v>0</v>
      </c>
      <c r="L108" s="252" t="str">
        <f t="shared" si="23"/>
        <v/>
      </c>
      <c r="M108" s="385"/>
      <c r="N108" s="385"/>
      <c r="O108" s="249" t="str">
        <f>IF(OR(Q108,P108),IF(AND(VLOOKUP(E108,Таблица3345[[#All],[הוצאה]:[פירוט הוצאות]],3,FALSE)="כן",K108&gt;0),הגדרות!$B$18,הגדרות!$B$19),הגדרות!$B$21)</f>
        <v/>
      </c>
      <c r="P108" s="253" t="b">
        <f t="shared" si="24"/>
        <v>1</v>
      </c>
      <c r="Q108" s="253" t="b">
        <f t="shared" si="25"/>
        <v>0</v>
      </c>
      <c r="R108" s="253" t="str">
        <f>IF(O108=הגדרות!$B$21,הגדרות!$B$25,IF(AND(OR(תקציב!O108=הגדרות!$B$17,תקציב!O108=הגדרות!$B$18,תקציב!O108=הגדרות!$B$22),ISBLANK(תקציב!M108)),הגדרות!$B$25,הגדרות!$B$24))</f>
        <v>כן</v>
      </c>
      <c r="S108" s="254">
        <f>IF(R108=הגדרות!$B$24,1,-1)</f>
        <v>1</v>
      </c>
    </row>
    <row r="109" spans="2:19" ht="17.100000000000001" customHeight="1" x14ac:dyDescent="0.25">
      <c r="B109" s="382"/>
      <c r="C109" s="318"/>
      <c r="D109" s="146" t="str">
        <f>IFERROR(VLOOKUP($B$3,'מק"ט'!$B$2:$C$27,2,FALSE)&amp;VLOOKUP(H109,'מק"ט'!D:E,2,FALSE)&amp;VLOOKUP(E109,'מק"ט'!H:I,2,FALSE),"")</f>
        <v/>
      </c>
      <c r="E109" s="348" t="s">
        <v>20</v>
      </c>
      <c r="F109" s="349"/>
      <c r="G109" s="155" t="s">
        <v>78</v>
      </c>
      <c r="H109" s="150"/>
      <c r="I109" s="209"/>
      <c r="J109" s="212"/>
      <c r="K109" s="252">
        <f t="shared" si="22"/>
        <v>0</v>
      </c>
      <c r="L109" s="252" t="str">
        <f t="shared" si="23"/>
        <v/>
      </c>
      <c r="M109" s="385"/>
      <c r="N109" s="385"/>
      <c r="O109" s="249" t="str">
        <f>IF(OR(Q109,P109),IF(AND(VLOOKUP(E109,Таблица3345[[#All],[הוצאה]:[פירוט הוצאות]],3,FALSE)="כן",K109&gt;0),הגדרות!$B$18,הגדרות!$B$19),הגדרות!$B$21)</f>
        <v/>
      </c>
      <c r="P109" s="253" t="b">
        <f t="shared" si="24"/>
        <v>1</v>
      </c>
      <c r="Q109" s="253" t="b">
        <f t="shared" si="25"/>
        <v>0</v>
      </c>
      <c r="R109" s="253" t="str">
        <f>IF(O109=הגדרות!$B$21,הגדרות!$B$25,IF(AND(OR(תקציב!O109=הגדרות!$B$17,תקציב!O109=הגדרות!$B$18,תקציב!O109=הגדרות!$B$22),ISBLANK(תקציב!M109)),הגדרות!$B$25,הגדרות!$B$24))</f>
        <v>כן</v>
      </c>
      <c r="S109" s="254">
        <f>IF(R109=הגדרות!$B$24,1,-1)</f>
        <v>1</v>
      </c>
    </row>
    <row r="110" spans="2:19" ht="17.100000000000001" customHeight="1" x14ac:dyDescent="0.25">
      <c r="B110" s="382"/>
      <c r="C110" s="318"/>
      <c r="D110" s="146" t="str">
        <f>IFERROR(VLOOKUP($B$3,'מק"ט'!$B$2:$C$27,2,FALSE)&amp;VLOOKUP(H110,'מק"ט'!D:E,2,FALSE)&amp;VLOOKUP(E110,'מק"ט'!H:I,2,FALSE),"")</f>
        <v/>
      </c>
      <c r="E110" s="348" t="s">
        <v>20</v>
      </c>
      <c r="F110" s="349"/>
      <c r="G110" s="155" t="s">
        <v>78</v>
      </c>
      <c r="H110" s="150"/>
      <c r="I110" s="209"/>
      <c r="J110" s="212"/>
      <c r="K110" s="252">
        <f t="shared" si="22"/>
        <v>0</v>
      </c>
      <c r="L110" s="252" t="str">
        <f t="shared" si="23"/>
        <v/>
      </c>
      <c r="M110" s="385"/>
      <c r="N110" s="385"/>
      <c r="O110" s="249" t="str">
        <f>IF(OR(Q110,P110),IF(AND(VLOOKUP(E110,Таблица3345[[#All],[הוצאה]:[פירוט הוצאות]],3,FALSE)="כן",K110&gt;0),הגדרות!$B$18,הגדרות!$B$19),הגדרות!$B$21)</f>
        <v/>
      </c>
      <c r="P110" s="253" t="b">
        <f t="shared" si="24"/>
        <v>1</v>
      </c>
      <c r="Q110" s="253" t="b">
        <f t="shared" si="25"/>
        <v>0</v>
      </c>
      <c r="R110" s="253" t="str">
        <f>IF(O110=הגדרות!$B$21,הגדרות!$B$25,IF(AND(OR(תקציב!O110=הגדרות!$B$17,תקציב!O110=הגדרות!$B$18,תקציב!O110=הגדרות!$B$22),ISBLANK(תקציב!M110)),הגדרות!$B$25,הגדרות!$B$24))</f>
        <v>כן</v>
      </c>
      <c r="S110" s="254">
        <f>IF(R110=הגדרות!$B$24,1,-1)</f>
        <v>1</v>
      </c>
    </row>
    <row r="111" spans="2:19" ht="17.100000000000001" customHeight="1" thickBot="1" x14ac:dyDescent="0.3">
      <c r="B111" s="384"/>
      <c r="C111" s="318"/>
      <c r="D111" s="146" t="str">
        <f>IFERROR(VLOOKUP($B$3,'מק"ט'!$B$2:$C$27,2,FALSE)&amp;VLOOKUP(H111,'מק"ט'!D:E,2,FALSE)&amp;VLOOKUP(E111,'מק"ט'!H:I,2,FALSE),"")</f>
        <v/>
      </c>
      <c r="E111" s="348" t="s">
        <v>20</v>
      </c>
      <c r="F111" s="349"/>
      <c r="G111" s="155" t="s">
        <v>78</v>
      </c>
      <c r="H111" s="150"/>
      <c r="I111" s="209"/>
      <c r="J111" s="212"/>
      <c r="K111" s="252">
        <f t="shared" si="22"/>
        <v>0</v>
      </c>
      <c r="L111" s="252" t="str">
        <f t="shared" si="23"/>
        <v/>
      </c>
      <c r="M111" s="385"/>
      <c r="N111" s="385"/>
      <c r="O111" s="249" t="str">
        <f>IF(OR(Q111,P111),IF(AND(VLOOKUP(E111,Таблица3345[[#All],[הוצאה]:[פירוט הוצאות]],3,FALSE)="כן",K111&gt;0),הגדרות!$B$18,הגדרות!$B$19),הגדרות!$B$21)</f>
        <v/>
      </c>
      <c r="P111" s="253" t="b">
        <f t="shared" si="24"/>
        <v>1</v>
      </c>
      <c r="Q111" s="253" t="b">
        <f t="shared" si="25"/>
        <v>0</v>
      </c>
      <c r="R111" s="256" t="str">
        <f>IF(O111=הגדרות!$B$21,הגדרות!$B$25,IF(AND(OR(תקציב!O111=הגדרות!$B$17,תקציב!O111=הגדרות!$B$18,תקציב!O111=הגדרות!$B$22),ISBLANK(תקציב!M111)),הגדרות!$B$25,הגדרות!$B$24))</f>
        <v>כן</v>
      </c>
      <c r="S111" s="260">
        <f>IF(R111=הגדרות!$B$24,1,-1)</f>
        <v>1</v>
      </c>
    </row>
    <row r="112" spans="2:19" ht="18.75" thickBot="1" x14ac:dyDescent="0.25">
      <c r="B112" s="164"/>
      <c r="C112" s="148"/>
      <c r="D112" s="148"/>
      <c r="E112" s="336" t="s">
        <v>273</v>
      </c>
      <c r="F112" s="337"/>
      <c r="G112" s="164"/>
      <c r="H112" s="148"/>
      <c r="I112" s="148"/>
      <c r="J112" s="257"/>
      <c r="K112" s="266">
        <f>SUM(K95:K111)</f>
        <v>0</v>
      </c>
      <c r="L112" s="266">
        <f>SUM(L95:L111)</f>
        <v>0</v>
      </c>
      <c r="M112" s="289"/>
      <c r="N112" s="289"/>
      <c r="O112" s="243"/>
      <c r="P112" s="148"/>
      <c r="Q112" s="148"/>
      <c r="R112" s="148"/>
      <c r="S112" s="258"/>
    </row>
    <row r="113" spans="2:19" ht="17.100000000000001" customHeight="1" x14ac:dyDescent="0.25">
      <c r="B113" s="383" t="s">
        <v>235</v>
      </c>
      <c r="C113" s="318"/>
      <c r="D113" s="146" t="str">
        <f>IFERROR(VLOOKUP($B$3,'מק"ט'!$B$2:$C$27,2,FALSE)&amp;VLOOKUP(H113,'מק"ט'!D:E,2,FALSE)&amp;VLOOKUP(E113,'מק"ט'!H:I,2,FALSE),"")</f>
        <v/>
      </c>
      <c r="E113" s="348" t="s">
        <v>374</v>
      </c>
      <c r="F113" s="349"/>
      <c r="G113" s="154"/>
      <c r="H113" s="150"/>
      <c r="I113" s="209"/>
      <c r="J113" s="212"/>
      <c r="K113" s="252">
        <f t="shared" ref="K113:K121" si="26">IF(G113="-",I113*J113,G113*I113*J113)</f>
        <v>0</v>
      </c>
      <c r="L113" s="252" t="str">
        <f t="shared" ref="L113:L121" si="27">IFERROR(K113/$D$7,"")</f>
        <v/>
      </c>
      <c r="M113" s="385"/>
      <c r="N113" s="385"/>
      <c r="O113" s="249" t="str">
        <f>IF(OR(Q113,P113),IF(AND(VLOOKUP(E113,Таблица3345[[#All],[הוצאה]:[פירוט הוצאות]],3,FALSE)="כן",K113&gt;0),הגדרות!$B$18,הגדרות!$B$19),הגדרות!$B$21)</f>
        <v/>
      </c>
      <c r="P113" s="253" t="b">
        <f>AND(OR(ISBLANK(G113),G113=0),OR(ISBLANK(I113),I113=0),OR(ISBLANK(J113),J113=0))</f>
        <v>1</v>
      </c>
      <c r="Q113" s="253" t="b">
        <f>AND(G113&gt;0,I113&gt;0,J113&gt;0)</f>
        <v>0</v>
      </c>
      <c r="R113" s="253" t="str">
        <f>IF(O113=הגדרות!$B$21,הגדרות!$B$25,IF(AND(OR(תקציב!O113=הגדרות!$B$17,תקציב!O113=הגדרות!$B$18,תקציב!O113=הגדרות!$B$22),ISBLANK(תקציב!M113)),הגדרות!$B$25,הגדרות!$B$24))</f>
        <v>כן</v>
      </c>
      <c r="S113" s="254">
        <f>IF(R113=הגדרות!$B$24,1,-1)</f>
        <v>1</v>
      </c>
    </row>
    <row r="114" spans="2:19" ht="17.100000000000001" customHeight="1" x14ac:dyDescent="0.25">
      <c r="B114" s="382"/>
      <c r="C114" s="318"/>
      <c r="D114" s="146" t="str">
        <f>IFERROR(VLOOKUP($B$3,'מק"ט'!$B$2:$C$27,2,FALSE)&amp;VLOOKUP(H114,'מק"ט'!D:E,2,FALSE)&amp;VLOOKUP(E114,'מק"ט'!H:I,2,FALSE),"")</f>
        <v/>
      </c>
      <c r="E114" s="348" t="s">
        <v>376</v>
      </c>
      <c r="F114" s="349"/>
      <c r="G114" s="154"/>
      <c r="H114" s="150"/>
      <c r="I114" s="209"/>
      <c r="J114" s="212"/>
      <c r="K114" s="252">
        <f t="shared" si="26"/>
        <v>0</v>
      </c>
      <c r="L114" s="252" t="str">
        <f t="shared" si="27"/>
        <v/>
      </c>
      <c r="M114" s="385"/>
      <c r="N114" s="385"/>
      <c r="O114" s="249" t="str">
        <f>IF(OR(Q114,P114),IF(AND(VLOOKUP(E114,Таблица3345[[#All],[הוצאה]:[פירוט הוצאות]],3,FALSE)="כן",K114&gt;0),הגדרות!$B$18,הגדרות!$B$19),הגדרות!$B$21)</f>
        <v/>
      </c>
      <c r="P114" s="253" t="b">
        <f>AND(OR(ISBLANK(G114),G114=0),ISBLANK(H114),OR(ISBLANK(I114),I114=0),OR(ISBLANK(J114),J114=0))</f>
        <v>1</v>
      </c>
      <c r="Q114" s="253" t="b">
        <f>AND(G114&gt;0,H114&gt;0,I114&gt;0,J114&gt;0)</f>
        <v>0</v>
      </c>
      <c r="R114" s="253" t="str">
        <f>IF(O114=הגדרות!$B$21,הגדרות!$B$25,IF(AND(OR(תקציב!O114=הגדרות!$B$17,תקציב!O114=הגדרות!$B$18,תקציב!O114=הגדרות!$B$22),ISBLANK(תקציב!M114)),הגדרות!$B$25,הגדרות!$B$24))</f>
        <v>כן</v>
      </c>
      <c r="S114" s="254">
        <f>IF(R114=הגדרות!$B$24,1,-1)</f>
        <v>1</v>
      </c>
    </row>
    <row r="115" spans="2:19" ht="17.100000000000001" customHeight="1" x14ac:dyDescent="0.25">
      <c r="B115" s="382"/>
      <c r="C115" s="318"/>
      <c r="D115" s="146" t="str">
        <f>IFERROR(VLOOKUP($B$3,'מק"ט'!$B$2:$C$27,2,FALSE)&amp;VLOOKUP(H115,'מק"ט'!D:E,2,FALSE)&amp;VLOOKUP(E115,'מק"ט'!H:I,2,FALSE),"")</f>
        <v/>
      </c>
      <c r="E115" s="348" t="s">
        <v>378</v>
      </c>
      <c r="F115" s="349"/>
      <c r="G115" s="154"/>
      <c r="H115" s="150"/>
      <c r="I115" s="209"/>
      <c r="J115" s="212"/>
      <c r="K115" s="252">
        <f t="shared" si="26"/>
        <v>0</v>
      </c>
      <c r="L115" s="252" t="str">
        <f t="shared" si="27"/>
        <v/>
      </c>
      <c r="M115" s="385"/>
      <c r="N115" s="385"/>
      <c r="O115" s="249" t="str">
        <f>IF(OR(Q115,P115),IF(AND(VLOOKUP(E115,Таблица3345[[#All],[הוצאה]:[פירוט הוצאות]],3,FALSE)="כן",K115&gt;0),הגדרות!$B$18,הגדרות!$B$19),הגדרות!$B$21)</f>
        <v/>
      </c>
      <c r="P115" s="253" t="b">
        <f>AND(OR(ISBLANK(G115),G115=0),ISBLANK(H115),OR(ISBLANK(I115),I115=0),OR(ISBLANK(J115),J115=0))</f>
        <v>1</v>
      </c>
      <c r="Q115" s="253" t="b">
        <f>AND(G115&gt;0,H115&gt;0,I115&gt;0,J115&gt;0)</f>
        <v>0</v>
      </c>
      <c r="R115" s="253" t="str">
        <f>IF(O115=הגדרות!$B$21,הגדרות!$B$25,IF(AND(OR(תקציב!O115=הגדרות!$B$17,תקציב!O115=הגדרות!$B$18,תקציב!O115=הגדרות!$B$22),ISBLANK(תקציב!M115)),הגדרות!$B$25,הגדרות!$B$24))</f>
        <v>כן</v>
      </c>
      <c r="S115" s="254">
        <f>IF(R115=הגדרות!$B$24,1,-1)</f>
        <v>1</v>
      </c>
    </row>
    <row r="116" spans="2:19" ht="17.100000000000001" customHeight="1" x14ac:dyDescent="0.25">
      <c r="B116" s="382"/>
      <c r="C116" s="318"/>
      <c r="D116" s="146" t="str">
        <f>IFERROR(VLOOKUP($B$3,'מק"ט'!$B$2:$C$27,2,FALSE)&amp;VLOOKUP(H116,'מק"ט'!D:E,2,FALSE)&amp;VLOOKUP(E116,'מק"ט'!H:I,2,FALSE),"")</f>
        <v/>
      </c>
      <c r="E116" s="348" t="s">
        <v>380</v>
      </c>
      <c r="F116" s="349"/>
      <c r="G116" s="155" t="s">
        <v>78</v>
      </c>
      <c r="H116" s="150"/>
      <c r="I116" s="209"/>
      <c r="J116" s="212"/>
      <c r="K116" s="252">
        <f t="shared" si="26"/>
        <v>0</v>
      </c>
      <c r="L116" s="252" t="str">
        <f t="shared" si="27"/>
        <v/>
      </c>
      <c r="M116" s="385"/>
      <c r="N116" s="385"/>
      <c r="O116" s="249" t="str">
        <f>IF(OR(Q116,P116),IF(AND(VLOOKUP(E116,Таблица3345[[#All],[הוצאה]:[פירוט הוצאות]],3,FALSE)="כן",K116&gt;0),הגדרות!$B$18,הגדרות!$B$19),הגדרות!$B$21)</f>
        <v/>
      </c>
      <c r="P116" s="253" t="b">
        <f t="shared" ref="P116:P121" si="28">AND(ISBLANK(H116),OR(ISBLANK(I116),I116=0),OR(ISBLANK(J116),J116=0))</f>
        <v>1</v>
      </c>
      <c r="Q116" s="253" t="b">
        <f t="shared" ref="Q116:Q121" si="29">AND(H116&gt;0,I116&gt;0,J116&gt;0)</f>
        <v>0</v>
      </c>
      <c r="R116" s="253" t="str">
        <f>IF(O116=הגדרות!$B$21,הגדרות!$B$25,IF(AND(OR(תקציב!O116=הגדרות!$B$17,תקציב!O116=הגדרות!$B$18,תקציב!O116=הגדרות!$B$22),ISBLANK(תקציב!M116)),הגדרות!$B$25,הגדרות!$B$24))</f>
        <v>כן</v>
      </c>
      <c r="S116" s="254">
        <f>IF(R116=הגדרות!$B$24,1,-1)</f>
        <v>1</v>
      </c>
    </row>
    <row r="117" spans="2:19" ht="17.100000000000001" customHeight="1" x14ac:dyDescent="0.25">
      <c r="B117" s="382"/>
      <c r="C117" s="318"/>
      <c r="D117" s="146" t="str">
        <f>IFERROR(VLOOKUP($B$3,'מק"ט'!$B$2:$C$27,2,FALSE)&amp;VLOOKUP(H117,'מק"ט'!D:E,2,FALSE)&amp;VLOOKUP(E117,'מק"ט'!H:I,2,FALSE),"")</f>
        <v/>
      </c>
      <c r="E117" s="348" t="s">
        <v>382</v>
      </c>
      <c r="F117" s="349"/>
      <c r="G117" s="155" t="s">
        <v>78</v>
      </c>
      <c r="H117" s="150"/>
      <c r="I117" s="209"/>
      <c r="J117" s="212"/>
      <c r="K117" s="252">
        <f t="shared" si="26"/>
        <v>0</v>
      </c>
      <c r="L117" s="252" t="str">
        <f t="shared" si="27"/>
        <v/>
      </c>
      <c r="M117" s="385"/>
      <c r="N117" s="385"/>
      <c r="O117" s="249" t="str">
        <f>IF(OR(Q117,P117),IF(AND(VLOOKUP(E117,Таблица3345[[#All],[הוצאה]:[פירוט הוצאות]],3,FALSE)="כן",K117&gt;0),הגדרות!$B$18,הגדרות!$B$19),הגדרות!$B$21)</f>
        <v/>
      </c>
      <c r="P117" s="253" t="b">
        <f t="shared" si="28"/>
        <v>1</v>
      </c>
      <c r="Q117" s="253" t="b">
        <f t="shared" si="29"/>
        <v>0</v>
      </c>
      <c r="R117" s="253" t="str">
        <f>IF(O117=הגדרות!$B$21,הגדרות!$B$25,IF(AND(OR(תקציב!O117=הגדרות!$B$17,תקציב!O117=הגדרות!$B$18,תקציב!O117=הגדרות!$B$22),ISBLANK(תקציב!M117)),הגדרות!$B$25,הגדרות!$B$24))</f>
        <v>כן</v>
      </c>
      <c r="S117" s="254">
        <f>IF(R117=הגדרות!$B$24,1,-1)</f>
        <v>1</v>
      </c>
    </row>
    <row r="118" spans="2:19" ht="17.100000000000001" customHeight="1" x14ac:dyDescent="0.25">
      <c r="B118" s="382"/>
      <c r="C118" s="318"/>
      <c r="D118" s="146" t="str">
        <f>IFERROR(VLOOKUP($B$3,'מק"ט'!$B$2:$C$27,2,FALSE)&amp;VLOOKUP(H118,'מק"ט'!D:E,2,FALSE)&amp;VLOOKUP(E118,'מק"ט'!H:I,2,FALSE),"")</f>
        <v/>
      </c>
      <c r="E118" s="348" t="s">
        <v>240</v>
      </c>
      <c r="F118" s="349"/>
      <c r="G118" s="155" t="s">
        <v>78</v>
      </c>
      <c r="H118" s="150"/>
      <c r="I118" s="209"/>
      <c r="J118" s="212"/>
      <c r="K118" s="252">
        <f t="shared" si="26"/>
        <v>0</v>
      </c>
      <c r="L118" s="252" t="str">
        <f t="shared" si="27"/>
        <v/>
      </c>
      <c r="M118" s="385"/>
      <c r="N118" s="385"/>
      <c r="O118" s="249" t="str">
        <f>IF(OR(Q118,P118),IF(AND(VLOOKUP(E118,Таблица3345[[#All],[הוצאה]:[פירוט הוצאות]],3,FALSE)="כן",K118&gt;0),הגדרות!$B$18,הגדרות!$B$19),הגדרות!$B$21)</f>
        <v/>
      </c>
      <c r="P118" s="253" t="b">
        <f t="shared" si="28"/>
        <v>1</v>
      </c>
      <c r="Q118" s="253" t="b">
        <f t="shared" si="29"/>
        <v>0</v>
      </c>
      <c r="R118" s="253" t="str">
        <f>IF(O118=הגדרות!$B$21,הגדרות!$B$25,IF(AND(OR(תקציב!O118=הגדרות!$B$17,תקציב!O118=הגדרות!$B$18,תקציב!O118=הגדרות!$B$22),ISBLANK(תקציב!M118)),הגדרות!$B$25,הגדרות!$B$24))</f>
        <v>כן</v>
      </c>
      <c r="S118" s="254">
        <f>IF(R118=הגדרות!$B$24,1,-1)</f>
        <v>1</v>
      </c>
    </row>
    <row r="119" spans="2:19" ht="17.100000000000001" customHeight="1" x14ac:dyDescent="0.25">
      <c r="B119" s="382"/>
      <c r="C119" s="318"/>
      <c r="D119" s="146" t="str">
        <f>IFERROR(VLOOKUP($B$3,'מק"ט'!$B$2:$C$27,2,FALSE)&amp;VLOOKUP(H119,'מק"ט'!D:E,2,FALSE)&amp;VLOOKUP(E119,'מק"ט'!H:I,2,FALSE),"")</f>
        <v/>
      </c>
      <c r="E119" s="348" t="s">
        <v>240</v>
      </c>
      <c r="F119" s="349"/>
      <c r="G119" s="155" t="s">
        <v>78</v>
      </c>
      <c r="H119" s="150"/>
      <c r="I119" s="209"/>
      <c r="J119" s="212"/>
      <c r="K119" s="252">
        <f t="shared" si="26"/>
        <v>0</v>
      </c>
      <c r="L119" s="252" t="str">
        <f t="shared" si="27"/>
        <v/>
      </c>
      <c r="M119" s="385"/>
      <c r="N119" s="385"/>
      <c r="O119" s="249" t="str">
        <f>IF(OR(Q119,P119),IF(AND(VLOOKUP(E119,Таблица3345[[#All],[הוצאה]:[פירוט הוצאות]],3,FALSE)="כן",K119&gt;0),הגדרות!$B$18,הגדרות!$B$19),הגדרות!$B$21)</f>
        <v/>
      </c>
      <c r="P119" s="253" t="b">
        <f t="shared" si="28"/>
        <v>1</v>
      </c>
      <c r="Q119" s="253" t="b">
        <f t="shared" si="29"/>
        <v>0</v>
      </c>
      <c r="R119" s="253" t="str">
        <f>IF(O119=הגדרות!$B$21,הגדרות!$B$25,IF(AND(OR(תקציב!O119=הגדרות!$B$17,תקציב!O119=הגדרות!$B$18,תקציב!O119=הגדרות!$B$22),ISBLANK(תקציב!M119)),הגדרות!$B$25,הגדרות!$B$24))</f>
        <v>כן</v>
      </c>
      <c r="S119" s="254">
        <f>IF(R119=הגדרות!$B$24,1,-1)</f>
        <v>1</v>
      </c>
    </row>
    <row r="120" spans="2:19" ht="17.100000000000001" customHeight="1" x14ac:dyDescent="0.25">
      <c r="B120" s="382"/>
      <c r="C120" s="318"/>
      <c r="D120" s="146" t="str">
        <f>IFERROR(VLOOKUP($B$3,'מק"ט'!$B$2:$C$27,2,FALSE)&amp;VLOOKUP(H120,'מק"ט'!D:E,2,FALSE)&amp;VLOOKUP(E120,'מק"ט'!H:I,2,FALSE),"")</f>
        <v/>
      </c>
      <c r="E120" s="348" t="s">
        <v>240</v>
      </c>
      <c r="F120" s="349"/>
      <c r="G120" s="155" t="s">
        <v>78</v>
      </c>
      <c r="H120" s="150"/>
      <c r="I120" s="209"/>
      <c r="J120" s="212"/>
      <c r="K120" s="252">
        <f t="shared" si="26"/>
        <v>0</v>
      </c>
      <c r="L120" s="252" t="str">
        <f t="shared" si="27"/>
        <v/>
      </c>
      <c r="M120" s="385"/>
      <c r="N120" s="385"/>
      <c r="O120" s="249" t="str">
        <f>IF(OR(Q120,P120),IF(AND(VLOOKUP(E120,Таблица3345[[#All],[הוצאה]:[פירוט הוצאות]],3,FALSE)="כן",K120&gt;0),הגדרות!$B$18,הגדרות!$B$19),הגדרות!$B$21)</f>
        <v/>
      </c>
      <c r="P120" s="253" t="b">
        <f t="shared" si="28"/>
        <v>1</v>
      </c>
      <c r="Q120" s="253" t="b">
        <f t="shared" si="29"/>
        <v>0</v>
      </c>
      <c r="R120" s="253" t="str">
        <f>IF(O120=הגדרות!$B$21,הגדרות!$B$25,IF(AND(OR(תקציב!O120=הגדרות!$B$17,תקציב!O120=הגדרות!$B$18,תקציב!O120=הגדרות!$B$22),ISBLANK(תקציב!M120)),הגדרות!$B$25,הגדרות!$B$24))</f>
        <v>כן</v>
      </c>
      <c r="S120" s="254">
        <f>IF(R120=הגדרות!$B$24,1,-1)</f>
        <v>1</v>
      </c>
    </row>
    <row r="121" spans="2:19" ht="17.100000000000001" customHeight="1" thickBot="1" x14ac:dyDescent="0.3">
      <c r="B121" s="384"/>
      <c r="C121" s="318"/>
      <c r="D121" s="146" t="str">
        <f>IFERROR(VLOOKUP($B$3,'מק"ט'!$B$2:$C$27,2,FALSE)&amp;VLOOKUP(H121,'מק"ט'!D:E,2,FALSE)&amp;VLOOKUP(E121,'מק"ט'!H:I,2,FALSE),"")</f>
        <v/>
      </c>
      <c r="E121" s="348" t="s">
        <v>240</v>
      </c>
      <c r="F121" s="349"/>
      <c r="G121" s="151" t="s">
        <v>78</v>
      </c>
      <c r="H121" s="150"/>
      <c r="I121" s="210"/>
      <c r="J121" s="213"/>
      <c r="K121" s="255">
        <f t="shared" si="26"/>
        <v>0</v>
      </c>
      <c r="L121" s="255" t="str">
        <f t="shared" si="27"/>
        <v/>
      </c>
      <c r="M121" s="385"/>
      <c r="N121" s="385"/>
      <c r="O121" s="249" t="str">
        <f>IF(OR(Q121,P121),IF(AND(VLOOKUP(E121,Таблица3345[[#All],[הוצאה]:[פירוט הוצאות]],3,FALSE)="כן",K121&gt;0),הגדרות!$B$18,הגדרות!$B$19),הגדרות!$B$21)</f>
        <v/>
      </c>
      <c r="P121" s="256" t="b">
        <f t="shared" si="28"/>
        <v>1</v>
      </c>
      <c r="Q121" s="256" t="b">
        <f t="shared" si="29"/>
        <v>0</v>
      </c>
      <c r="R121" s="256" t="str">
        <f>IF(O121=הגדרות!$B$21,הגדרות!$B$25,IF(AND(OR(תקציב!O121=הגדרות!$B$17,תקציב!O121=הגדרות!$B$18,תקציב!O121=הגדרות!$B$22),ISBLANK(תקציב!M121)),הגדרות!$B$25,הגדרות!$B$24))</f>
        <v>כן</v>
      </c>
      <c r="S121" s="260">
        <f>IF(R121=הגדרות!$B$24,1,-1)</f>
        <v>1</v>
      </c>
    </row>
    <row r="122" spans="2:19" ht="18.75" thickBot="1" x14ac:dyDescent="0.25">
      <c r="B122" s="164"/>
      <c r="C122" s="148"/>
      <c r="D122" s="148"/>
      <c r="E122" s="336" t="s">
        <v>241</v>
      </c>
      <c r="F122" s="337"/>
      <c r="G122" s="164"/>
      <c r="H122" s="148"/>
      <c r="I122" s="148"/>
      <c r="J122" s="257"/>
      <c r="K122" s="266">
        <f>SUM(K113:K121)</f>
        <v>0</v>
      </c>
      <c r="L122" s="266">
        <f>SUM(L113:L121)</f>
        <v>0</v>
      </c>
      <c r="M122" s="289"/>
      <c r="N122" s="289"/>
      <c r="O122" s="243"/>
      <c r="P122" s="148"/>
      <c r="Q122" s="148"/>
      <c r="R122" s="148"/>
      <c r="S122" s="258"/>
    </row>
    <row r="123" spans="2:19" ht="17.100000000000001" customHeight="1" x14ac:dyDescent="0.25">
      <c r="B123" s="382" t="s">
        <v>117</v>
      </c>
      <c r="C123" s="318"/>
      <c r="D123" s="146" t="str">
        <f>IFERROR(VLOOKUP($B$3,'מק"ט'!$B$2:$C$27,2,FALSE)&amp;VLOOKUP(H123,'מק"ט'!D:E,2,FALSE)&amp;VLOOKUP(E123,'מק"ט'!H:I,2,FALSE),"")</f>
        <v/>
      </c>
      <c r="E123" s="348" t="s">
        <v>496</v>
      </c>
      <c r="F123" s="349"/>
      <c r="G123" s="155" t="s">
        <v>78</v>
      </c>
      <c r="H123" s="150"/>
      <c r="I123" s="209"/>
      <c r="J123" s="212"/>
      <c r="K123" s="252">
        <f t="shared" ref="K123:K140" si="30">IF(G123="-",I123*J123,G123*I123*J123)</f>
        <v>0</v>
      </c>
      <c r="L123" s="252" t="str">
        <f t="shared" ref="L123:L140" si="31">IFERROR(K123/$D$7,"")</f>
        <v/>
      </c>
      <c r="M123" s="385"/>
      <c r="N123" s="385"/>
      <c r="O123" s="249" t="str">
        <f>IF(OR(Q123,P123),IF(AND(VLOOKUP(E123,Таблица3345[[#All],[הוצאה]:[פירוט הוצאות]],3,FALSE)="כן",K123&gt;0),הגדרות!$B$18,הגדרות!$B$19),הגדרות!$B$21)</f>
        <v/>
      </c>
      <c r="P123" s="253" t="b">
        <f t="shared" ref="P123:P141" si="32">AND(ISBLANK(H123),OR(ISBLANK(I123),I123=0),OR(ISBLANK(J123),J123=0))</f>
        <v>1</v>
      </c>
      <c r="Q123" s="253" t="b">
        <f t="shared" ref="Q123:Q141" si="33">AND(H123&gt;0,I123&gt;0,J123&gt;0)</f>
        <v>0</v>
      </c>
      <c r="R123" s="253" t="str">
        <f>IF(O123=הגדרות!$B$21,הגדרות!$B$25,IF(AND(OR(תקציב!O123=הגדרות!$B$17,תקציב!O123=הגדרות!$B$18,תקציב!O123=הגדרות!$B$22),ISBLANK(תקציב!M123)),הגדרות!$B$25,הגדרות!$B$24))</f>
        <v>כן</v>
      </c>
      <c r="S123" s="254">
        <f>IF(R123=הגדרות!$B$24,1,-1)</f>
        <v>1</v>
      </c>
    </row>
    <row r="124" spans="2:19" ht="17.100000000000001" customHeight="1" x14ac:dyDescent="0.25">
      <c r="B124" s="382"/>
      <c r="C124" s="318"/>
      <c r="D124" s="146" t="str">
        <f>IFERROR(VLOOKUP($B$3,'מק"ט'!$B$2:$C$27,2,FALSE)&amp;VLOOKUP(H124,'מק"ט'!D:E,2,FALSE)&amp;VLOOKUP(E124,'מק"ט'!H:I,2,FALSE),"")</f>
        <v/>
      </c>
      <c r="E124" s="348" t="s">
        <v>106</v>
      </c>
      <c r="F124" s="349"/>
      <c r="G124" s="155" t="s">
        <v>78</v>
      </c>
      <c r="H124" s="150"/>
      <c r="I124" s="209"/>
      <c r="J124" s="212"/>
      <c r="K124" s="252">
        <f t="shared" si="30"/>
        <v>0</v>
      </c>
      <c r="L124" s="252" t="str">
        <f t="shared" si="31"/>
        <v/>
      </c>
      <c r="M124" s="385"/>
      <c r="N124" s="385"/>
      <c r="O124" s="249" t="str">
        <f>IF(OR(Q124,P124),IF(AND(VLOOKUP(E124,Таблица3345[[#All],[הוצאה]:[פירוט הוצאות]],3,FALSE)="כן",K124&gt;0),הגדרות!$B$18,הגדרות!$B$19),הגדרות!$B$21)</f>
        <v/>
      </c>
      <c r="P124" s="253" t="b">
        <f t="shared" si="32"/>
        <v>1</v>
      </c>
      <c r="Q124" s="253" t="b">
        <f t="shared" si="33"/>
        <v>0</v>
      </c>
      <c r="R124" s="253" t="str">
        <f>IF(O124=הגדרות!$B$21,הגדרות!$B$25,IF(AND(OR(תקציב!O124=הגדרות!$B$17,תקציב!O124=הגדרות!$B$18,תקציב!O124=הגדרות!$B$22),ISBLANK(תקציב!M124)),הגדרות!$B$25,הגדרות!$B$24))</f>
        <v>כן</v>
      </c>
      <c r="S124" s="254">
        <f>IF(R124=הגדרות!$B$24,1,-1)</f>
        <v>1</v>
      </c>
    </row>
    <row r="125" spans="2:19" ht="17.100000000000001" customHeight="1" x14ac:dyDescent="0.25">
      <c r="B125" s="382"/>
      <c r="C125" s="318"/>
      <c r="D125" s="146" t="str">
        <f>IFERROR(VLOOKUP($B$3,'מק"ט'!$B$2:$C$27,2,FALSE)&amp;VLOOKUP(H125,'מק"ט'!D:E,2,FALSE)&amp;VLOOKUP(E125,'מק"ט'!H:I,2,FALSE),"")</f>
        <v/>
      </c>
      <c r="E125" s="348" t="s">
        <v>107</v>
      </c>
      <c r="F125" s="349"/>
      <c r="G125" s="155" t="s">
        <v>78</v>
      </c>
      <c r="H125" s="150"/>
      <c r="I125" s="209"/>
      <c r="J125" s="212"/>
      <c r="K125" s="252">
        <f t="shared" si="30"/>
        <v>0</v>
      </c>
      <c r="L125" s="252" t="str">
        <f t="shared" si="31"/>
        <v/>
      </c>
      <c r="M125" s="385"/>
      <c r="N125" s="385"/>
      <c r="O125" s="249" t="str">
        <f>IF(OR(Q125,P125),IF(AND(VLOOKUP(E125,Таблица3345[[#All],[הוצאה]:[פירוט הוצאות]],3,FALSE)="כן",K125&gt;0),הגדרות!$B$18,הגדרות!$B$19),הגדרות!$B$21)</f>
        <v/>
      </c>
      <c r="P125" s="253" t="b">
        <f t="shared" si="32"/>
        <v>1</v>
      </c>
      <c r="Q125" s="253" t="b">
        <f t="shared" si="33"/>
        <v>0</v>
      </c>
      <c r="R125" s="253" t="str">
        <f>IF(O125=הגדרות!$B$21,הגדרות!$B$25,IF(AND(OR(תקציב!O125=הגדרות!$B$17,תקציב!O125=הגדרות!$B$18,תקציב!O125=הגדרות!$B$22),ISBLANK(תקציב!M125)),הגדרות!$B$25,הגדרות!$B$24))</f>
        <v>כן</v>
      </c>
      <c r="S125" s="254">
        <f>IF(R125=הגדרות!$B$24,1,-1)</f>
        <v>1</v>
      </c>
    </row>
    <row r="126" spans="2:19" ht="17.100000000000001" customHeight="1" x14ac:dyDescent="0.25">
      <c r="B126" s="382"/>
      <c r="C126" s="318"/>
      <c r="D126" s="146" t="str">
        <f>IFERROR(VLOOKUP($B$3,'מק"ט'!$B$2:$C$27,2,FALSE)&amp;VLOOKUP(H126,'מק"ט'!D:E,2,FALSE)&amp;VLOOKUP(E126,'מק"ט'!H:I,2,FALSE),"")</f>
        <v/>
      </c>
      <c r="E126" s="348" t="s">
        <v>108</v>
      </c>
      <c r="F126" s="349"/>
      <c r="G126" s="155" t="s">
        <v>78</v>
      </c>
      <c r="H126" s="150"/>
      <c r="I126" s="209"/>
      <c r="J126" s="212"/>
      <c r="K126" s="252">
        <f t="shared" si="30"/>
        <v>0</v>
      </c>
      <c r="L126" s="252" t="str">
        <f t="shared" si="31"/>
        <v/>
      </c>
      <c r="M126" s="385"/>
      <c r="N126" s="385"/>
      <c r="O126" s="249" t="str">
        <f>IF(OR(Q126,P126),IF(AND(VLOOKUP(E126,Таблица3345[[#All],[הוצאה]:[פירוט הוצאות]],3,FALSE)="כן",K126&gt;0),הגדרות!$B$18,הגדרות!$B$19),הגדרות!$B$21)</f>
        <v/>
      </c>
      <c r="P126" s="253" t="b">
        <f t="shared" si="32"/>
        <v>1</v>
      </c>
      <c r="Q126" s="253" t="b">
        <f t="shared" si="33"/>
        <v>0</v>
      </c>
      <c r="R126" s="253" t="str">
        <f>IF(O126=הגדרות!$B$21,הגדרות!$B$25,IF(AND(OR(תקציב!O126=הגדרות!$B$17,תקציב!O126=הגדרות!$B$18,תקציב!O126=הגדרות!$B$22),ISBLANK(תקציב!M126)),הגדרות!$B$25,הגדרות!$B$24))</f>
        <v>כן</v>
      </c>
      <c r="S126" s="254">
        <f>IF(R126=הגדרות!$B$24,1,-1)</f>
        <v>1</v>
      </c>
    </row>
    <row r="127" spans="2:19" ht="17.100000000000001" customHeight="1" x14ac:dyDescent="0.25">
      <c r="B127" s="382"/>
      <c r="C127" s="318"/>
      <c r="D127" s="146" t="str">
        <f>IFERROR(VLOOKUP($B$3,'מק"ט'!$B$2:$C$27,2,FALSE)&amp;VLOOKUP(H127,'מק"ט'!D:E,2,FALSE)&amp;VLOOKUP(E127,'מק"ט'!H:I,2,FALSE),"")</f>
        <v/>
      </c>
      <c r="E127" s="348" t="s">
        <v>269</v>
      </c>
      <c r="F127" s="349"/>
      <c r="G127" s="155" t="s">
        <v>78</v>
      </c>
      <c r="H127" s="150"/>
      <c r="I127" s="209"/>
      <c r="J127" s="212"/>
      <c r="K127" s="252">
        <f t="shared" si="30"/>
        <v>0</v>
      </c>
      <c r="L127" s="252" t="str">
        <f t="shared" si="31"/>
        <v/>
      </c>
      <c r="M127" s="385"/>
      <c r="N127" s="385"/>
      <c r="O127" s="249" t="str">
        <f>IF(OR(Q127,P127),IF(AND(VLOOKUP(E127,Таблица3345[[#All],[הוצאה]:[פירוט הוצאות]],3,FALSE)="כן",K127&gt;0),הגדרות!$B$18,הגדרות!$B$19),הגדרות!$B$21)</f>
        <v/>
      </c>
      <c r="P127" s="253" t="b">
        <f t="shared" si="32"/>
        <v>1</v>
      </c>
      <c r="Q127" s="253" t="b">
        <f t="shared" si="33"/>
        <v>0</v>
      </c>
      <c r="R127" s="253" t="str">
        <f>IF(O127=הגדרות!$B$21,הגדרות!$B$25,IF(AND(OR(תקציב!O127=הגדרות!$B$17,תקציב!O127=הגדרות!$B$18,תקציב!O127=הגדרות!$B$22),ISBLANK(תקציב!M127)),הגדרות!$B$25,הגדרות!$B$24))</f>
        <v>כן</v>
      </c>
      <c r="S127" s="254">
        <f>IF(R127=הגדרות!$B$24,1,-1)</f>
        <v>1</v>
      </c>
    </row>
    <row r="128" spans="2:19" ht="17.100000000000001" customHeight="1" x14ac:dyDescent="0.25">
      <c r="B128" s="382"/>
      <c r="C128" s="318"/>
      <c r="D128" s="146" t="str">
        <f>IFERROR(VLOOKUP($B$3,'מק"ט'!$B$2:$C$27,2,FALSE)&amp;VLOOKUP(H128,'מק"ט'!D:E,2,FALSE)&amp;VLOOKUP(E128,'מק"ט'!H:I,2,FALSE),"")</f>
        <v/>
      </c>
      <c r="E128" s="348" t="s">
        <v>225</v>
      </c>
      <c r="F128" s="349"/>
      <c r="G128" s="155" t="s">
        <v>78</v>
      </c>
      <c r="H128" s="150"/>
      <c r="I128" s="209"/>
      <c r="J128" s="212"/>
      <c r="K128" s="252">
        <f t="shared" si="30"/>
        <v>0</v>
      </c>
      <c r="L128" s="252" t="str">
        <f t="shared" si="31"/>
        <v/>
      </c>
      <c r="M128" s="385"/>
      <c r="N128" s="385"/>
      <c r="O128" s="249" t="str">
        <f>IF(OR(Q128,P128),IF(AND(VLOOKUP(E128,Таблица3345[[#All],[הוצאה]:[פירוט הוצאות]],3,FALSE)="כן",K128&gt;0),הגדרות!$B$18,הגדרות!$B$19),הגדרות!$B$21)</f>
        <v/>
      </c>
      <c r="P128" s="253" t="b">
        <f t="shared" si="32"/>
        <v>1</v>
      </c>
      <c r="Q128" s="253" t="b">
        <f t="shared" si="33"/>
        <v>0</v>
      </c>
      <c r="R128" s="253" t="str">
        <f>IF(O128=הגדרות!$B$21,הגדרות!$B$25,IF(AND(OR(תקציב!O128=הגדרות!$B$17,תקציב!O128=הגדרות!$B$18,תקציב!O128=הגדרות!$B$22),ISBLANK(תקציב!M128)),הגדרות!$B$25,הגדרות!$B$24))</f>
        <v>כן</v>
      </c>
      <c r="S128" s="254">
        <f>IF(R128=הגדרות!$B$24,1,-1)</f>
        <v>1</v>
      </c>
    </row>
    <row r="129" spans="2:19" ht="17.100000000000001" customHeight="1" x14ac:dyDescent="0.25">
      <c r="B129" s="382"/>
      <c r="C129" s="318"/>
      <c r="D129" s="146" t="str">
        <f>IFERROR(VLOOKUP($B$3,'מק"ט'!$B$2:$C$27,2,FALSE)&amp;VLOOKUP(H129,'מק"ט'!D:E,2,FALSE)&amp;VLOOKUP(E129,'מק"ט'!H:I,2,FALSE),"")</f>
        <v/>
      </c>
      <c r="E129" s="348" t="s">
        <v>501</v>
      </c>
      <c r="F129" s="349"/>
      <c r="G129" s="155" t="s">
        <v>78</v>
      </c>
      <c r="H129" s="150"/>
      <c r="I129" s="209"/>
      <c r="J129" s="212"/>
      <c r="K129" s="252">
        <f t="shared" si="30"/>
        <v>0</v>
      </c>
      <c r="L129" s="252" t="str">
        <f t="shared" si="31"/>
        <v/>
      </c>
      <c r="M129" s="385"/>
      <c r="N129" s="385"/>
      <c r="O129" s="249" t="str">
        <f>IF(OR(Q129,P129),IF(AND(VLOOKUP(E129,Таблица3345[[#All],[הוצאה]:[פירוט הוצאות]],3,FALSE)="כן",K129&gt;0),הגדרות!$B$18,הגדרות!$B$19),הגדרות!$B$21)</f>
        <v/>
      </c>
      <c r="P129" s="253" t="b">
        <f t="shared" si="32"/>
        <v>1</v>
      </c>
      <c r="Q129" s="253" t="b">
        <f t="shared" si="33"/>
        <v>0</v>
      </c>
      <c r="R129" s="253" t="str">
        <f>IF(O129=הגדרות!$B$21,הגדרות!$B$25,IF(AND(OR(תקציב!O129=הגדרות!$B$17,תקציב!O129=הגדרות!$B$18,תקציב!O129=הגדרות!$B$22),ISBLANK(תקציב!M129)),הגדרות!$B$25,הגדרות!$B$24))</f>
        <v>כן</v>
      </c>
      <c r="S129" s="254">
        <f>IF(R129=הגדרות!$B$24,1,-1)</f>
        <v>1</v>
      </c>
    </row>
    <row r="130" spans="2:19" ht="17.100000000000001" customHeight="1" x14ac:dyDescent="0.25">
      <c r="B130" s="382"/>
      <c r="C130" s="318"/>
      <c r="D130" s="146" t="str">
        <f>IFERROR(VLOOKUP($B$3,'מק"ט'!$B$2:$C$27,2,FALSE)&amp;VLOOKUP(H130,'מק"ט'!D:E,2,FALSE)&amp;VLOOKUP(E130,'מק"ט'!H:I,2,FALSE),"")</f>
        <v/>
      </c>
      <c r="E130" s="348" t="s">
        <v>110</v>
      </c>
      <c r="F130" s="349"/>
      <c r="G130" s="155" t="s">
        <v>78</v>
      </c>
      <c r="H130" s="150"/>
      <c r="I130" s="209"/>
      <c r="J130" s="212"/>
      <c r="K130" s="252">
        <f t="shared" si="30"/>
        <v>0</v>
      </c>
      <c r="L130" s="252" t="str">
        <f t="shared" si="31"/>
        <v/>
      </c>
      <c r="M130" s="385"/>
      <c r="N130" s="385"/>
      <c r="O130" s="249" t="str">
        <f>IF(OR(Q130,P130),IF(AND(VLOOKUP(E130,Таблица3345[[#All],[הוצאה]:[פירוט הוצאות]],3,FALSE)="כן",K130&gt;0),הגדרות!$B$18,הגדרות!$B$19),הגדרות!$B$21)</f>
        <v/>
      </c>
      <c r="P130" s="253" t="b">
        <f t="shared" si="32"/>
        <v>1</v>
      </c>
      <c r="Q130" s="253" t="b">
        <f t="shared" si="33"/>
        <v>0</v>
      </c>
      <c r="R130" s="253" t="str">
        <f>IF(O130=הגדרות!$B$21,הגדרות!$B$25,IF(AND(OR(תקציב!O130=הגדרות!$B$17,תקציב!O130=הגדרות!$B$18,תקציב!O130=הגדרות!$B$22),ISBLANK(תקציב!M130)),הגדרות!$B$25,הגדרות!$B$24))</f>
        <v>כן</v>
      </c>
      <c r="S130" s="254">
        <f>IF(R130=הגדרות!$B$24,1,-1)</f>
        <v>1</v>
      </c>
    </row>
    <row r="131" spans="2:19" ht="17.100000000000001" customHeight="1" x14ac:dyDescent="0.25">
      <c r="B131" s="382"/>
      <c r="C131" s="318"/>
      <c r="D131" s="146" t="str">
        <f>IFERROR(VLOOKUP($B$3,'מק"ט'!$B$2:$C$27,2,FALSE)&amp;VLOOKUP(H131,'מק"ט'!D:E,2,FALSE)&amp;VLOOKUP(E131,'מק"ט'!H:I,2,FALSE),"")</f>
        <v/>
      </c>
      <c r="E131" s="348" t="s">
        <v>111</v>
      </c>
      <c r="F131" s="349"/>
      <c r="G131" s="155" t="s">
        <v>78</v>
      </c>
      <c r="H131" s="150"/>
      <c r="I131" s="209"/>
      <c r="J131" s="212"/>
      <c r="K131" s="252">
        <f t="shared" si="30"/>
        <v>0</v>
      </c>
      <c r="L131" s="252" t="str">
        <f t="shared" si="31"/>
        <v/>
      </c>
      <c r="M131" s="385"/>
      <c r="N131" s="385"/>
      <c r="O131" s="249" t="str">
        <f>IF(OR(Q131,P131),IF(AND(VLOOKUP(E131,Таблица3345[[#All],[הוצאה]:[פירוט הוצאות]],3,FALSE)="כן",K131&gt;0),הגדרות!$B$18,הגדרות!$B$19),הגדרות!$B$21)</f>
        <v/>
      </c>
      <c r="P131" s="253" t="b">
        <f t="shared" si="32"/>
        <v>1</v>
      </c>
      <c r="Q131" s="253" t="b">
        <f t="shared" si="33"/>
        <v>0</v>
      </c>
      <c r="R131" s="253" t="str">
        <f>IF(O131=הגדרות!$B$21,הגדרות!$B$25,IF(AND(OR(תקציב!O131=הגדרות!$B$17,תקציב!O131=הגדרות!$B$18,תקציב!O131=הגדרות!$B$22),ISBLANK(תקציב!M131)),הגדרות!$B$25,הגדרות!$B$24))</f>
        <v>כן</v>
      </c>
      <c r="S131" s="254">
        <f>IF(R131=הגדרות!$B$24,1,-1)</f>
        <v>1</v>
      </c>
    </row>
    <row r="132" spans="2:19" ht="17.100000000000001" customHeight="1" x14ac:dyDescent="0.25">
      <c r="B132" s="382"/>
      <c r="C132" s="318"/>
      <c r="D132" s="146" t="str">
        <f>IFERROR(VLOOKUP($B$3,'מק"ט'!$B$2:$C$27,2,FALSE)&amp;VLOOKUP(H132,'מק"ט'!D:E,2,FALSE)&amp;VLOOKUP(E132,'מק"ט'!H:I,2,FALSE),"")</f>
        <v/>
      </c>
      <c r="E132" s="348" t="s">
        <v>112</v>
      </c>
      <c r="F132" s="349"/>
      <c r="G132" s="155" t="s">
        <v>78</v>
      </c>
      <c r="H132" s="150"/>
      <c r="I132" s="209"/>
      <c r="J132" s="212"/>
      <c r="K132" s="252">
        <f t="shared" si="30"/>
        <v>0</v>
      </c>
      <c r="L132" s="252" t="str">
        <f t="shared" si="31"/>
        <v/>
      </c>
      <c r="M132" s="385"/>
      <c r="N132" s="385"/>
      <c r="O132" s="249" t="str">
        <f>IF(OR(Q132,P132),IF(AND(VLOOKUP(E132,Таблица3345[[#All],[הוצאה]:[פירוט הוצאות]],3,FALSE)="כן",K132&gt;0),הגדרות!$B$18,הגדרות!$B$19),הגדרות!$B$21)</f>
        <v/>
      </c>
      <c r="P132" s="253" t="b">
        <f t="shared" si="32"/>
        <v>1</v>
      </c>
      <c r="Q132" s="253" t="b">
        <f t="shared" si="33"/>
        <v>0</v>
      </c>
      <c r="R132" s="253" t="str">
        <f>IF(O132=הגדרות!$B$21,הגדרות!$B$25,IF(AND(OR(תקציב!O132=הגדרות!$B$17,תקציב!O132=הגדרות!$B$18,תקציב!O132=הגדרות!$B$22),ISBLANK(תקציב!M132)),הגדרות!$B$25,הגדרות!$B$24))</f>
        <v>כן</v>
      </c>
      <c r="S132" s="254">
        <f>IF(R132=הגדרות!$B$24,1,-1)</f>
        <v>1</v>
      </c>
    </row>
    <row r="133" spans="2:19" ht="17.100000000000001" customHeight="1" x14ac:dyDescent="0.25">
      <c r="B133" s="382"/>
      <c r="C133" s="318"/>
      <c r="D133" s="146" t="str">
        <f>IFERROR(VLOOKUP($B$3,'מק"ט'!$B$2:$C$27,2,FALSE)&amp;VLOOKUP(H133,'מק"ט'!D:E,2,FALSE)&amp;VLOOKUP(E133,'מק"ט'!H:I,2,FALSE),"")</f>
        <v/>
      </c>
      <c r="E133" s="348" t="s">
        <v>113</v>
      </c>
      <c r="F133" s="349"/>
      <c r="G133" s="155" t="s">
        <v>78</v>
      </c>
      <c r="H133" s="150"/>
      <c r="I133" s="209"/>
      <c r="J133" s="212"/>
      <c r="K133" s="252">
        <f t="shared" si="30"/>
        <v>0</v>
      </c>
      <c r="L133" s="252" t="str">
        <f t="shared" si="31"/>
        <v/>
      </c>
      <c r="M133" s="385"/>
      <c r="N133" s="385"/>
      <c r="O133" s="249" t="str">
        <f>IF(OR(Q133,P133),IF(AND(VLOOKUP(E133,Таблица3345[[#All],[הוצאה]:[פירוט הוצאות]],3,FALSE)="כן",K133&gt;0),הגדרות!$B$18,הגדרות!$B$19),הגדרות!$B$21)</f>
        <v/>
      </c>
      <c r="P133" s="253" t="b">
        <f t="shared" si="32"/>
        <v>1</v>
      </c>
      <c r="Q133" s="253" t="b">
        <f t="shared" si="33"/>
        <v>0</v>
      </c>
      <c r="R133" s="253" t="str">
        <f>IF(O133=הגדרות!$B$21,הגדרות!$B$25,IF(AND(OR(תקציב!O133=הגדרות!$B$17,תקציב!O133=הגדרות!$B$18,תקציב!O133=הגדרות!$B$22),ISBLANK(תקציב!M133)),הגדרות!$B$25,הגדרות!$B$24))</f>
        <v>כן</v>
      </c>
      <c r="S133" s="254">
        <f>IF(R133=הגדרות!$B$24,1,-1)</f>
        <v>1</v>
      </c>
    </row>
    <row r="134" spans="2:19" ht="17.100000000000001" customHeight="1" x14ac:dyDescent="0.25">
      <c r="B134" s="382"/>
      <c r="C134" s="318"/>
      <c r="D134" s="146" t="str">
        <f>IFERROR(VLOOKUP($B$3,'מק"ט'!$B$2:$C$27,2,FALSE)&amp;VLOOKUP(H134,'מק"ט'!D:E,2,FALSE)&amp;VLOOKUP(E134,'מק"ט'!H:I,2,FALSE),"")</f>
        <v/>
      </c>
      <c r="E134" s="348" t="s">
        <v>228</v>
      </c>
      <c r="F134" s="349"/>
      <c r="G134" s="155" t="s">
        <v>78</v>
      </c>
      <c r="H134" s="150"/>
      <c r="I134" s="209"/>
      <c r="J134" s="212"/>
      <c r="K134" s="252">
        <f t="shared" si="30"/>
        <v>0</v>
      </c>
      <c r="L134" s="252" t="str">
        <f t="shared" si="31"/>
        <v/>
      </c>
      <c r="M134" s="385"/>
      <c r="N134" s="385"/>
      <c r="O134" s="249" t="str">
        <f>IF(OR(Q134,P134),IF(AND(VLOOKUP(E134,Таблица3345[[#All],[הוצאה]:[פירוט הוצאות]],3,FALSE)="כן",K134&gt;0),הגדרות!$B$18,הגדרות!$B$19),הגדרות!$B$21)</f>
        <v/>
      </c>
      <c r="P134" s="253" t="b">
        <f t="shared" si="32"/>
        <v>1</v>
      </c>
      <c r="Q134" s="253" t="b">
        <f t="shared" si="33"/>
        <v>0</v>
      </c>
      <c r="R134" s="253" t="str">
        <f>IF(O134=הגדרות!$B$21,הגדרות!$B$25,IF(AND(OR(תקציב!O134=הגדרות!$B$17,תקציב!O134=הגדרות!$B$18,תקציב!O134=הגדרות!$B$22),ISBLANK(תקציב!M134)),הגדרות!$B$25,הגדרות!$B$24))</f>
        <v>כן</v>
      </c>
      <c r="S134" s="254">
        <f>IF(R134=הגדרות!$B$24,1,-1)</f>
        <v>1</v>
      </c>
    </row>
    <row r="135" spans="2:19" ht="17.100000000000001" customHeight="1" x14ac:dyDescent="0.25">
      <c r="B135" s="382"/>
      <c r="C135" s="318"/>
      <c r="D135" s="146" t="str">
        <f>IFERROR(VLOOKUP($B$3,'מק"ט'!$B$2:$C$27,2,FALSE)&amp;VLOOKUP(H135,'מק"ט'!D:E,2,FALSE)&amp;VLOOKUP(E135,'מק"ט'!H:I,2,FALSE),"")</f>
        <v/>
      </c>
      <c r="E135" s="348" t="s">
        <v>114</v>
      </c>
      <c r="F135" s="349"/>
      <c r="G135" s="155" t="s">
        <v>78</v>
      </c>
      <c r="H135" s="150"/>
      <c r="I135" s="209"/>
      <c r="J135" s="212"/>
      <c r="K135" s="252">
        <f t="shared" si="30"/>
        <v>0</v>
      </c>
      <c r="L135" s="252" t="str">
        <f t="shared" si="31"/>
        <v/>
      </c>
      <c r="M135" s="385"/>
      <c r="N135" s="385"/>
      <c r="O135" s="249" t="str">
        <f>IF(OR(Q135,P135),IF(AND(VLOOKUP(E135,Таблица3345[[#All],[הוצאה]:[פירוט הוצאות]],3,FALSE)="כן",K135&gt;0),הגדרות!$B$18,הגדרות!$B$19),הגדרות!$B$21)</f>
        <v/>
      </c>
      <c r="P135" s="253" t="b">
        <f t="shared" si="32"/>
        <v>1</v>
      </c>
      <c r="Q135" s="253" t="b">
        <f t="shared" si="33"/>
        <v>0</v>
      </c>
      <c r="R135" s="253" t="str">
        <f>IF(O135=הגדרות!$B$21,הגדרות!$B$25,IF(AND(OR(תקציב!O135=הגדרות!$B$17,תקציב!O135=הגדרות!$B$18,תקציב!O135=הגדרות!$B$22),ISBLANK(תקציב!M135)),הגדרות!$B$25,הגדרות!$B$24))</f>
        <v>כן</v>
      </c>
      <c r="S135" s="254">
        <f>IF(R135=הגדרות!$B$24,1,-1)</f>
        <v>1</v>
      </c>
    </row>
    <row r="136" spans="2:19" ht="17.100000000000001" customHeight="1" x14ac:dyDescent="0.25">
      <c r="B136" s="382"/>
      <c r="C136" s="318"/>
      <c r="D136" s="146" t="str">
        <f>IFERROR(VLOOKUP($B$3,'מק"ט'!$B$2:$C$27,2,FALSE)&amp;VLOOKUP(H136,'מק"ט'!D:E,2,FALSE)&amp;VLOOKUP(E136,'מק"ט'!H:I,2,FALSE),"")</f>
        <v/>
      </c>
      <c r="E136" s="348" t="s">
        <v>117</v>
      </c>
      <c r="F136" s="349"/>
      <c r="G136" s="155" t="s">
        <v>78</v>
      </c>
      <c r="H136" s="150"/>
      <c r="I136" s="209"/>
      <c r="J136" s="212"/>
      <c r="K136" s="252">
        <f t="shared" si="30"/>
        <v>0</v>
      </c>
      <c r="L136" s="252" t="str">
        <f t="shared" si="31"/>
        <v/>
      </c>
      <c r="M136" s="385"/>
      <c r="N136" s="385"/>
      <c r="O136" s="249" t="str">
        <f>IF(OR(Q136,P136),IF(AND(VLOOKUP(E136,Таблица3345[[#All],[הוצאה]:[פירוט הוצאות]],3,FALSE)="כן",K136&gt;0),הגדרות!$B$18,הגדרות!$B$19),הגדרות!$B$21)</f>
        <v/>
      </c>
      <c r="P136" s="253" t="b">
        <f t="shared" si="32"/>
        <v>1</v>
      </c>
      <c r="Q136" s="253" t="b">
        <f t="shared" si="33"/>
        <v>0</v>
      </c>
      <c r="R136" s="253" t="str">
        <f>IF(O136=הגדרות!$B$21,הגדרות!$B$25,IF(AND(OR(תקציב!O136=הגדרות!$B$17,תקציב!O136=הגדרות!$B$18,תקציב!O136=הגדרות!$B$22),ISBLANK(תקציב!M136)),הגדרות!$B$25,הגדרות!$B$24))</f>
        <v>כן</v>
      </c>
      <c r="S136" s="254">
        <f>IF(R136=הגדרות!$B$24,1,-1)</f>
        <v>1</v>
      </c>
    </row>
    <row r="137" spans="2:19" s="253" customFormat="1" ht="17.100000000000001" customHeight="1" x14ac:dyDescent="0.25">
      <c r="B137" s="382"/>
      <c r="C137" s="318"/>
      <c r="D137" s="146" t="str">
        <f>IFERROR(VLOOKUP($B$3,'מק"ט'!$B$2:$C$27,2,FALSE)&amp;VLOOKUP(H137,'מק"ט'!D:E,2,FALSE)&amp;VLOOKUP(E137,'מק"ט'!H:I,2,FALSE),"")</f>
        <v/>
      </c>
      <c r="E137" s="348" t="s">
        <v>117</v>
      </c>
      <c r="F137" s="349"/>
      <c r="G137" s="155" t="s">
        <v>78</v>
      </c>
      <c r="H137" s="150"/>
      <c r="I137" s="209"/>
      <c r="J137" s="212"/>
      <c r="K137" s="252">
        <f t="shared" si="30"/>
        <v>0</v>
      </c>
      <c r="L137" s="252" t="str">
        <f t="shared" si="31"/>
        <v/>
      </c>
      <c r="M137" s="385"/>
      <c r="N137" s="385"/>
      <c r="O137" s="249" t="str">
        <f>IF(OR(Q137,P137),IF(AND(VLOOKUP(E137,Таблица3345[[#All],[הוצאה]:[פירוט הוצאות]],3,FALSE)="כן",K137&gt;0),הגדרות!$B$18,הגדרות!$B$19),הגדרות!$B$21)</f>
        <v/>
      </c>
      <c r="P137" s="253" t="b">
        <f t="shared" si="32"/>
        <v>1</v>
      </c>
      <c r="Q137" s="253" t="b">
        <f t="shared" si="33"/>
        <v>0</v>
      </c>
      <c r="R137" s="253" t="str">
        <f>IF(O137=הגדרות!$B$21,הגדרות!$B$25,IF(AND(OR(תקציב!O137=הגדרות!$B$17,תקציב!O137=הגדרות!$B$18,תקציב!O137=הגדרות!$B$22),ISBLANK(תקציב!M137)),הגדרות!$B$25,הגדרות!$B$24))</f>
        <v>כן</v>
      </c>
      <c r="S137" s="254">
        <f>IF(R137=הגדרות!$B$24,1,-1)</f>
        <v>1</v>
      </c>
    </row>
    <row r="138" spans="2:19" s="253" customFormat="1" ht="17.100000000000001" customHeight="1" x14ac:dyDescent="0.25">
      <c r="B138" s="382"/>
      <c r="C138" s="318"/>
      <c r="D138" s="146" t="str">
        <f>IFERROR(VLOOKUP($B$3,'מק"ט'!$B$2:$C$27,2,FALSE)&amp;VLOOKUP(H138,'מק"ט'!D:E,2,FALSE)&amp;VLOOKUP(E138,'מק"ט'!H:I,2,FALSE),"")</f>
        <v/>
      </c>
      <c r="E138" s="348" t="s">
        <v>117</v>
      </c>
      <c r="F138" s="349"/>
      <c r="G138" s="155" t="s">
        <v>78</v>
      </c>
      <c r="H138" s="150"/>
      <c r="I138" s="209"/>
      <c r="J138" s="212"/>
      <c r="K138" s="252">
        <f t="shared" si="30"/>
        <v>0</v>
      </c>
      <c r="L138" s="252" t="str">
        <f t="shared" si="31"/>
        <v/>
      </c>
      <c r="M138" s="385"/>
      <c r="N138" s="385"/>
      <c r="O138" s="249" t="str">
        <f>IF(OR(Q138,P138),IF(AND(VLOOKUP(E138,Таблица3345[[#All],[הוצאה]:[פירוט הוצאות]],3,FALSE)="כן",K138&gt;0),הגדרות!$B$18,הגדרות!$B$19),הגדרות!$B$21)</f>
        <v/>
      </c>
      <c r="P138" s="253" t="b">
        <f t="shared" si="32"/>
        <v>1</v>
      </c>
      <c r="Q138" s="253" t="b">
        <f t="shared" si="33"/>
        <v>0</v>
      </c>
      <c r="R138" s="253" t="str">
        <f>IF(O138=הגדרות!$B$21,הגדרות!$B$25,IF(AND(OR(תקציב!O138=הגדרות!$B$17,תקציב!O138=הגדרות!$B$18,תקציב!O138=הגדרות!$B$22),ISBLANK(תקציב!M138)),הגדרות!$B$25,הגדרות!$B$24))</f>
        <v>כן</v>
      </c>
      <c r="S138" s="254">
        <f>IF(R138=הגדרות!$B$24,1,-1)</f>
        <v>1</v>
      </c>
    </row>
    <row r="139" spans="2:19" s="253" customFormat="1" ht="17.100000000000001" customHeight="1" x14ac:dyDescent="0.25">
      <c r="B139" s="382"/>
      <c r="C139" s="318"/>
      <c r="D139" s="146" t="str">
        <f>IFERROR(VLOOKUP($B$3,'מק"ט'!$B$2:$C$27,2,FALSE)&amp;VLOOKUP(H139,'מק"ט'!D:E,2,FALSE)&amp;VLOOKUP(E139,'מק"ט'!H:I,2,FALSE),"")</f>
        <v/>
      </c>
      <c r="E139" s="348" t="s">
        <v>117</v>
      </c>
      <c r="F139" s="349"/>
      <c r="G139" s="155" t="s">
        <v>78</v>
      </c>
      <c r="H139" s="150"/>
      <c r="I139" s="209"/>
      <c r="J139" s="212"/>
      <c r="K139" s="252">
        <f t="shared" si="30"/>
        <v>0</v>
      </c>
      <c r="L139" s="252" t="str">
        <f t="shared" si="31"/>
        <v/>
      </c>
      <c r="M139" s="385"/>
      <c r="N139" s="385"/>
      <c r="O139" s="249" t="str">
        <f>IF(OR(Q139,P139),IF(AND(VLOOKUP(E139,Таблица3345[[#All],[הוצאה]:[פירוט הוצאות]],3,FALSE)="כן",K139&gt;0),הגדרות!$B$18,הגדרות!$B$19),הגדרות!$B$21)</f>
        <v/>
      </c>
      <c r="P139" s="253" t="b">
        <f t="shared" si="32"/>
        <v>1</v>
      </c>
      <c r="Q139" s="253" t="b">
        <f t="shared" si="33"/>
        <v>0</v>
      </c>
      <c r="R139" s="253" t="str">
        <f>IF(O139=הגדרות!$B$21,הגדרות!$B$25,IF(AND(OR(תקציב!O139=הגדרות!$B$17,תקציב!O139=הגדרות!$B$18,תקציב!O139=הגדרות!$B$22),ISBLANK(תקציב!M139)),הגדרות!$B$25,הגדרות!$B$24))</f>
        <v>כן</v>
      </c>
      <c r="S139" s="254">
        <f>IF(R139=הגדרות!$B$24,1,-1)</f>
        <v>1</v>
      </c>
    </row>
    <row r="140" spans="2:19" s="253" customFormat="1" ht="17.100000000000001" customHeight="1" thickBot="1" x14ac:dyDescent="0.3">
      <c r="B140" s="384"/>
      <c r="C140" s="318"/>
      <c r="D140" s="146" t="str">
        <f>IFERROR(VLOOKUP($B$3,'מק"ט'!$B$2:$C$27,2,FALSE)&amp;VLOOKUP(H140,'מק"ט'!D:E,2,FALSE)&amp;VLOOKUP(E140,'מק"ט'!H:I,2,FALSE),"")</f>
        <v/>
      </c>
      <c r="E140" s="348" t="s">
        <v>117</v>
      </c>
      <c r="F140" s="349"/>
      <c r="G140" s="155" t="s">
        <v>78</v>
      </c>
      <c r="H140" s="150"/>
      <c r="I140" s="209"/>
      <c r="J140" s="212"/>
      <c r="K140" s="252">
        <f t="shared" si="30"/>
        <v>0</v>
      </c>
      <c r="L140" s="252" t="str">
        <f t="shared" si="31"/>
        <v/>
      </c>
      <c r="M140" s="385"/>
      <c r="N140" s="385"/>
      <c r="O140" s="249" t="str">
        <f>IF(OR(Q140,P140),IF(AND(VLOOKUP(E140,Таблица3345[[#All],[הוצאה]:[פירוט הוצאות]],3,FALSE)="כן",K140&gt;0),הגדרות!$B$18,הגדרות!$B$19),הגדרות!$B$21)</f>
        <v/>
      </c>
      <c r="P140" s="253" t="b">
        <f t="shared" si="32"/>
        <v>1</v>
      </c>
      <c r="Q140" s="253" t="b">
        <f t="shared" si="33"/>
        <v>0</v>
      </c>
      <c r="R140" s="253" t="str">
        <f>IF(O140=הגדרות!$B$21,הגדרות!$B$25,IF(AND(OR(תקציב!O140=הגדרות!$B$17,תקציב!O140=הגדרות!$B$18,תקציב!O140=הגדרות!$B$22),ISBLANK(תקציב!M140)),הגדרות!$B$25,הגדרות!$B$24))</f>
        <v>כן</v>
      </c>
      <c r="S140" s="254">
        <f>IF(R140=הגדרות!$B$24,1,-1)</f>
        <v>1</v>
      </c>
    </row>
    <row r="141" spans="2:19" ht="19.5" customHeight="1" thickBot="1" x14ac:dyDescent="0.25">
      <c r="B141" s="164"/>
      <c r="C141" s="148"/>
      <c r="D141" s="148"/>
      <c r="E141" s="336" t="s">
        <v>118</v>
      </c>
      <c r="F141" s="337"/>
      <c r="G141" s="164"/>
      <c r="H141" s="148"/>
      <c r="I141" s="148"/>
      <c r="J141" s="257"/>
      <c r="K141" s="266">
        <f>SUM(K123:K140)</f>
        <v>0</v>
      </c>
      <c r="L141" s="266">
        <f>SUM(L123:L140)</f>
        <v>0</v>
      </c>
      <c r="M141" s="289"/>
      <c r="N141" s="289"/>
      <c r="O141" s="243"/>
      <c r="P141" s="148" t="b">
        <f t="shared" si="32"/>
        <v>1</v>
      </c>
      <c r="Q141" s="148" t="b">
        <f t="shared" si="33"/>
        <v>0</v>
      </c>
      <c r="R141" s="148"/>
      <c r="S141" s="258"/>
    </row>
    <row r="142" spans="2:19" ht="17.100000000000001" customHeight="1" x14ac:dyDescent="0.25">
      <c r="B142" s="383" t="s">
        <v>137</v>
      </c>
      <c r="C142" s="318">
        <v>-1</v>
      </c>
      <c r="D142" s="146" t="str">
        <f>IFERROR(VLOOKUP($B$3,'מק"ט'!$B$2:$C$27,2,FALSE)&amp;VLOOKUP(H142,'מק"ט'!D:E,2,FALSE)&amp;VLOOKUP(E142,'מק"ט'!H:I,2,FALSE),"")</f>
        <v/>
      </c>
      <c r="E142" s="348" t="s">
        <v>119</v>
      </c>
      <c r="F142" s="349"/>
      <c r="G142" s="154"/>
      <c r="H142" s="150"/>
      <c r="I142" s="209"/>
      <c r="J142" s="212"/>
      <c r="K142" s="252">
        <f t="shared" ref="K142:K162" si="34">IF(G142="-",I142*J142,G142*I142*J142)</f>
        <v>0</v>
      </c>
      <c r="L142" s="252" t="str">
        <f t="shared" ref="L142:L162" si="35">IFERROR(K142/$D$7,"")</f>
        <v/>
      </c>
      <c r="M142" s="385"/>
      <c r="N142" s="385"/>
      <c r="O142" s="249" t="str">
        <f>IF(OR(Q142,P142),IF(AND(VLOOKUP(E142,Таблица3345[[#All],[הוצאה]:[פירוט הוצאות]],3,FALSE)="כן",K142&gt;0),הגדרות!$B$18,הגדרות!$B$19),הגדרות!$B$21)</f>
        <v/>
      </c>
      <c r="P142" s="253" t="b">
        <f t="shared" ref="P142:P148" si="36">AND(OR(ISBLANK(G142),G142=0),ISBLANK(H142),OR(ISBLANK(I142),I142=0),OR(ISBLANK(J142),J142=0))</f>
        <v>1</v>
      </c>
      <c r="Q142" s="253" t="b">
        <f t="shared" ref="Q142:Q148" si="37">AND(G142&gt;0,H142&gt;0,I142&gt;0,J142&gt;0)</f>
        <v>0</v>
      </c>
      <c r="R142" s="253" t="str">
        <f>IF(O142=הגדרות!$B$21,הגדרות!$B$25,IF(AND(OR(תקציב!O142=הגדרות!$B$17,תקציב!O142=הגדרות!$B$18,תקציב!O142=הגדרות!$B$22),ISBLANK(תקציב!M142)),הגדרות!$B$25,הגדרות!$B$24))</f>
        <v>כן</v>
      </c>
      <c r="S142" s="254">
        <f>IF(R142=הגדרות!$B$24,1,-1)</f>
        <v>1</v>
      </c>
    </row>
    <row r="143" spans="2:19" ht="17.100000000000001" customHeight="1" x14ac:dyDescent="0.25">
      <c r="B143" s="382"/>
      <c r="C143" s="318">
        <v>-1</v>
      </c>
      <c r="D143" s="146" t="str">
        <f>IFERROR(VLOOKUP($B$3,'מק"ט'!$B$2:$C$27,2,FALSE)&amp;VLOOKUP(H143,'מק"ט'!D:E,2,FALSE)&amp;VLOOKUP(E143,'מק"ט'!H:I,2,FALSE),"")</f>
        <v/>
      </c>
      <c r="E143" s="348" t="s">
        <v>120</v>
      </c>
      <c r="F143" s="349"/>
      <c r="G143" s="154"/>
      <c r="H143" s="150"/>
      <c r="I143" s="209"/>
      <c r="J143" s="212"/>
      <c r="K143" s="252">
        <f t="shared" si="34"/>
        <v>0</v>
      </c>
      <c r="L143" s="252" t="str">
        <f t="shared" si="35"/>
        <v/>
      </c>
      <c r="M143" s="385"/>
      <c r="N143" s="385"/>
      <c r="O143" s="249" t="str">
        <f>IF(OR(Q143,P143),IF(AND(VLOOKUP(E143,Таблица3345[[#All],[הוצאה]:[פירוט הוצאות]],3,FALSE)="כן",K143&gt;0),הגדרות!$B$18,הגדרות!$B$19),הגדרות!$B$21)</f>
        <v/>
      </c>
      <c r="P143" s="253" t="b">
        <f t="shared" si="36"/>
        <v>1</v>
      </c>
      <c r="Q143" s="253" t="b">
        <f t="shared" si="37"/>
        <v>0</v>
      </c>
      <c r="R143" s="253" t="str">
        <f>IF(O143=הגדרות!$B$21,הגדרות!$B$25,IF(AND(OR(תקציב!O143=הגדרות!$B$17,תקציב!O143=הגדרות!$B$18,תקציב!O143=הגדרות!$B$22),ISBLANK(תקציב!M143)),הגדרות!$B$25,הגדרות!$B$24))</f>
        <v>כן</v>
      </c>
      <c r="S143" s="254">
        <f>IF(R143=הגדרות!$B$24,1,-1)</f>
        <v>1</v>
      </c>
    </row>
    <row r="144" spans="2:19" ht="17.100000000000001" customHeight="1" x14ac:dyDescent="0.25">
      <c r="B144" s="382"/>
      <c r="C144" s="318"/>
      <c r="D144" s="146" t="str">
        <f>IFERROR(VLOOKUP($B$3,'מק"ט'!$B$2:$C$27,2,FALSE)&amp;VLOOKUP(H144,'מק"ט'!D:E,2,FALSE)&amp;VLOOKUP(E144,'מק"ט'!H:I,2,FALSE),"")</f>
        <v/>
      </c>
      <c r="E144" s="348" t="s">
        <v>121</v>
      </c>
      <c r="F144" s="349"/>
      <c r="G144" s="154"/>
      <c r="H144" s="150"/>
      <c r="I144" s="209"/>
      <c r="J144" s="212"/>
      <c r="K144" s="252">
        <f t="shared" si="34"/>
        <v>0</v>
      </c>
      <c r="L144" s="252" t="str">
        <f t="shared" si="35"/>
        <v/>
      </c>
      <c r="M144" s="385"/>
      <c r="N144" s="385"/>
      <c r="O144" s="249" t="str">
        <f>IF(OR(Q144,P144),IF(AND(VLOOKUP(E144,Таблица3345[[#All],[הוצאה]:[פירוט הוצאות]],3,FALSE)="כן",K144&gt;0),הגדרות!$B$18,הגדרות!$B$19),הגדרות!$B$21)</f>
        <v/>
      </c>
      <c r="P144" s="253" t="b">
        <f t="shared" si="36"/>
        <v>1</v>
      </c>
      <c r="Q144" s="253" t="b">
        <f t="shared" si="37"/>
        <v>0</v>
      </c>
      <c r="R144" s="253" t="str">
        <f>IF(O144=הגדרות!$B$21,הגדרות!$B$25,IF(AND(OR(תקציב!O144=הגדרות!$B$17,תקציב!O144=הגדרות!$B$18,תקציב!O144=הגדרות!$B$22),ISBLANK(תקציב!M144)),הגדרות!$B$25,הגדרות!$B$24))</f>
        <v>כן</v>
      </c>
      <c r="S144" s="254">
        <f>IF(R144=הגדרות!$B$24,1,-1)</f>
        <v>1</v>
      </c>
    </row>
    <row r="145" spans="2:19" ht="17.100000000000001" customHeight="1" x14ac:dyDescent="0.25">
      <c r="B145" s="382"/>
      <c r="C145" s="318"/>
      <c r="D145" s="146" t="str">
        <f>IFERROR(VLOOKUP($B$3,'מק"ט'!$B$2:$C$27,2,FALSE)&amp;VLOOKUP(H145,'מק"ט'!D:E,2,FALSE)&amp;VLOOKUP(E145,'מק"ט'!H:I,2,FALSE),"")</f>
        <v/>
      </c>
      <c r="E145" s="348" t="s">
        <v>122</v>
      </c>
      <c r="F145" s="349"/>
      <c r="G145" s="154"/>
      <c r="H145" s="150"/>
      <c r="I145" s="209"/>
      <c r="J145" s="212"/>
      <c r="K145" s="252">
        <f t="shared" si="34"/>
        <v>0</v>
      </c>
      <c r="L145" s="252" t="str">
        <f t="shared" si="35"/>
        <v/>
      </c>
      <c r="M145" s="385"/>
      <c r="N145" s="385"/>
      <c r="O145" s="249" t="str">
        <f>IF(OR(Q145,P145),IF(AND(VLOOKUP(E145,Таблица3345[[#All],[הוצאה]:[פירוט הוצאות]],3,FALSE)="כן",K145&gt;0),הגדרות!$B$18,הגדרות!$B$19),הגדרות!$B$21)</f>
        <v/>
      </c>
      <c r="P145" s="253" t="b">
        <f t="shared" si="36"/>
        <v>1</v>
      </c>
      <c r="Q145" s="253" t="b">
        <f t="shared" si="37"/>
        <v>0</v>
      </c>
      <c r="R145" s="253" t="str">
        <f>IF(O145=הגדרות!$B$21,הגדרות!$B$25,IF(AND(OR(תקציב!O145=הגדרות!$B$17,תקציב!O145=הגדרות!$B$18,תקציב!O145=הגדרות!$B$22),ISBLANK(תקציב!M145)),הגדרות!$B$25,הגדרות!$B$24))</f>
        <v>כן</v>
      </c>
      <c r="S145" s="254">
        <f>IF(R145=הגדרות!$B$24,1,-1)</f>
        <v>1</v>
      </c>
    </row>
    <row r="146" spans="2:19" ht="17.100000000000001" customHeight="1" x14ac:dyDescent="0.25">
      <c r="B146" s="382"/>
      <c r="C146" s="318"/>
      <c r="D146" s="146" t="str">
        <f>IFERROR(VLOOKUP($B$3,'מק"ט'!$B$2:$C$27,2,FALSE)&amp;VLOOKUP(H146,'מק"ט'!D:E,2,FALSE)&amp;VLOOKUP(E146,'מק"ט'!H:I,2,FALSE),"")</f>
        <v/>
      </c>
      <c r="E146" s="348" t="s">
        <v>229</v>
      </c>
      <c r="F146" s="349"/>
      <c r="G146" s="154"/>
      <c r="H146" s="150"/>
      <c r="I146" s="209"/>
      <c r="J146" s="212"/>
      <c r="K146" s="252">
        <f t="shared" si="34"/>
        <v>0</v>
      </c>
      <c r="L146" s="252" t="str">
        <f t="shared" si="35"/>
        <v/>
      </c>
      <c r="M146" s="385"/>
      <c r="N146" s="385"/>
      <c r="O146" s="249" t="str">
        <f>IF(OR(Q146,P146),IF(AND(VLOOKUP(E146,Таблица3345[[#All],[הוצאה]:[פירוט הוצאות]],3,FALSE)="כן",K146&gt;0),הגדרות!$B$18,הגדרות!$B$19),הגדרות!$B$21)</f>
        <v/>
      </c>
      <c r="P146" s="253" t="b">
        <f t="shared" si="36"/>
        <v>1</v>
      </c>
      <c r="Q146" s="253" t="b">
        <f t="shared" si="37"/>
        <v>0</v>
      </c>
      <c r="R146" s="253" t="str">
        <f>IF(O146=הגדרות!$B$21,הגדרות!$B$25,IF(AND(OR(תקציב!O146=הגדרות!$B$17,תקציב!O146=הגדרות!$B$18,תקציב!O146=הגדרות!$B$22),ISBLANK(תקציב!M146)),הגדרות!$B$25,הגדרות!$B$24))</f>
        <v>כן</v>
      </c>
      <c r="S146" s="254">
        <f>IF(R146=הגדרות!$B$24,1,-1)</f>
        <v>1</v>
      </c>
    </row>
    <row r="147" spans="2:19" ht="17.100000000000001" customHeight="1" x14ac:dyDescent="0.25">
      <c r="B147" s="382"/>
      <c r="C147" s="318"/>
      <c r="D147" s="146" t="str">
        <f>IFERROR(VLOOKUP($B$3,'מק"ט'!$B$2:$C$27,2,FALSE)&amp;VLOOKUP(H147,'מק"ט'!D:E,2,FALSE)&amp;VLOOKUP(E147,'מק"ט'!H:I,2,FALSE),"")</f>
        <v/>
      </c>
      <c r="E147" s="348" t="s">
        <v>124</v>
      </c>
      <c r="F147" s="349"/>
      <c r="G147" s="154"/>
      <c r="H147" s="150"/>
      <c r="I147" s="209"/>
      <c r="J147" s="212"/>
      <c r="K147" s="252">
        <f t="shared" si="34"/>
        <v>0</v>
      </c>
      <c r="L147" s="252" t="str">
        <f t="shared" si="35"/>
        <v/>
      </c>
      <c r="M147" s="385"/>
      <c r="N147" s="385"/>
      <c r="O147" s="249" t="str">
        <f>IF(OR(Q147,P147),IF(AND(VLOOKUP(E147,Таблица3345[[#All],[הוצאה]:[פירוט הוצאות]],3,FALSE)="כן",K147&gt;0),הגדרות!$B$18,הגדרות!$B$19),הגדרות!$B$21)</f>
        <v/>
      </c>
      <c r="P147" s="253" t="b">
        <f t="shared" si="36"/>
        <v>1</v>
      </c>
      <c r="Q147" s="253" t="b">
        <f t="shared" si="37"/>
        <v>0</v>
      </c>
      <c r="R147" s="253" t="str">
        <f>IF(O147=הגדרות!$B$21,הגדרות!$B$25,IF(AND(OR(תקציב!O147=הגדרות!$B$17,תקציב!O147=הגדרות!$B$18,תקציב!O147=הגדרות!$B$22),ISBLANK(תקציב!M147)),הגדרות!$B$25,הגדרות!$B$24))</f>
        <v>כן</v>
      </c>
      <c r="S147" s="254">
        <f>IF(R147=הגדרות!$B$24,1,-1)</f>
        <v>1</v>
      </c>
    </row>
    <row r="148" spans="2:19" ht="17.100000000000001" customHeight="1" x14ac:dyDescent="0.25">
      <c r="B148" s="382"/>
      <c r="C148" s="318"/>
      <c r="D148" s="146" t="str">
        <f>IFERROR(VLOOKUP($B$3,'מק"ט'!$B$2:$C$27,2,FALSE)&amp;VLOOKUP(H148,'מק"ט'!D:E,2,FALSE)&amp;VLOOKUP(E148,'מק"ט'!H:I,2,FALSE),"")</f>
        <v/>
      </c>
      <c r="E148" s="348" t="s">
        <v>125</v>
      </c>
      <c r="F148" s="349"/>
      <c r="G148" s="154"/>
      <c r="H148" s="150"/>
      <c r="I148" s="209"/>
      <c r="J148" s="212"/>
      <c r="K148" s="252">
        <f t="shared" si="34"/>
        <v>0</v>
      </c>
      <c r="L148" s="252" t="str">
        <f t="shared" si="35"/>
        <v/>
      </c>
      <c r="M148" s="385"/>
      <c r="N148" s="385"/>
      <c r="O148" s="249" t="str">
        <f>IF(OR(Q148,P148),IF(AND(VLOOKUP(E148,Таблица3345[[#All],[הוצאה]:[פירוט הוצאות]],3,FALSE)="כן",K148&gt;0),הגדרות!$B$18,הגדרות!$B$19),הגדרות!$B$21)</f>
        <v/>
      </c>
      <c r="P148" s="253" t="b">
        <f t="shared" si="36"/>
        <v>1</v>
      </c>
      <c r="Q148" s="253" t="b">
        <f t="shared" si="37"/>
        <v>0</v>
      </c>
      <c r="R148" s="253" t="str">
        <f>IF(O148=הגדרות!$B$21,הגדרות!$B$25,IF(AND(OR(תקציב!O148=הגדרות!$B$17,תקציב!O148=הגדרות!$B$18,תקציב!O148=הגדרות!$B$22),ISBLANK(תקציב!M148)),הגדרות!$B$25,הגדרות!$B$24))</f>
        <v>כן</v>
      </c>
      <c r="S148" s="254">
        <f>IF(R148=הגדרות!$B$24,1,-1)</f>
        <v>1</v>
      </c>
    </row>
    <row r="149" spans="2:19" ht="17.100000000000001" customHeight="1" x14ac:dyDescent="0.25">
      <c r="B149" s="382"/>
      <c r="C149" s="318"/>
      <c r="D149" s="146" t="str">
        <f>IFERROR(VLOOKUP($B$3,'מק"ט'!$B$2:$C$27,2,FALSE)&amp;VLOOKUP(H149,'מק"ט'!D:E,2,FALSE)&amp;VLOOKUP(E149,'מק"ט'!H:I,2,FALSE),"")</f>
        <v/>
      </c>
      <c r="E149" s="348" t="s">
        <v>502</v>
      </c>
      <c r="F149" s="349"/>
      <c r="G149" s="155" t="s">
        <v>78</v>
      </c>
      <c r="H149" s="150"/>
      <c r="I149" s="209"/>
      <c r="J149" s="212"/>
      <c r="K149" s="252">
        <f t="shared" si="34"/>
        <v>0</v>
      </c>
      <c r="L149" s="252" t="str">
        <f t="shared" si="35"/>
        <v/>
      </c>
      <c r="M149" s="385"/>
      <c r="N149" s="385"/>
      <c r="O149" s="249" t="str">
        <f>IF(OR(Q149,P149),IF(AND(VLOOKUP(E149,Таблица3345[[#All],[הוצאה]:[פירוט הוצאות]],3,FALSE)="כן",K149&gt;0),הגדרות!$B$18,הגדרות!$B$19),הגדרות!$B$21)</f>
        <v/>
      </c>
      <c r="P149" s="253" t="b">
        <f>AND(ISBLANK(H149),OR(ISBLANK(I149),I149=0),OR(ISBLANK(J149),J149=0))</f>
        <v>1</v>
      </c>
      <c r="Q149" s="253" t="b">
        <f>AND(H149&gt;0,I149&gt;0,J149&gt;0)</f>
        <v>0</v>
      </c>
      <c r="R149" s="253" t="str">
        <f>IF(O149=הגדרות!$B$21,הגדרות!$B$25,IF(AND(OR(תקציב!O149=הגדרות!$B$17,תקציב!O149=הגדרות!$B$18,תקציב!O149=הגדרות!$B$22),ISBLANK(תקציב!M149)),הגדרות!$B$25,הגדרות!$B$24))</f>
        <v>כן</v>
      </c>
      <c r="S149" s="254">
        <f>IF(R149=הגדרות!$B$24,1,-1)</f>
        <v>1</v>
      </c>
    </row>
    <row r="150" spans="2:19" ht="17.100000000000001" customHeight="1" x14ac:dyDescent="0.25">
      <c r="B150" s="382"/>
      <c r="C150" s="318"/>
      <c r="D150" s="146" t="str">
        <f>IFERROR(VLOOKUP($B$3,'מק"ט'!$B$2:$C$27,2,FALSE)&amp;VLOOKUP(H150,'מק"ט'!D:E,2,FALSE)&amp;VLOOKUP(E150,'מק"ט'!H:I,2,FALSE),"")</f>
        <v/>
      </c>
      <c r="E150" s="348" t="s">
        <v>127</v>
      </c>
      <c r="F150" s="349"/>
      <c r="G150" s="155" t="s">
        <v>78</v>
      </c>
      <c r="H150" s="150"/>
      <c r="I150" s="209"/>
      <c r="J150" s="212"/>
      <c r="K150" s="252">
        <f t="shared" si="34"/>
        <v>0</v>
      </c>
      <c r="L150" s="252" t="str">
        <f t="shared" si="35"/>
        <v/>
      </c>
      <c r="M150" s="385"/>
      <c r="N150" s="385"/>
      <c r="O150" s="249" t="str">
        <f>IF(OR(Q150,P150),IF(AND(VLOOKUP(E150,Таблица3345[[#All],[הוצאה]:[פירוט הוצאות]],3,FALSE)="כן",K150&gt;0),הגדרות!$B$18,הגדרות!$B$19),הגדרות!$B$21)</f>
        <v/>
      </c>
      <c r="P150" s="253" t="b">
        <f>AND(ISBLANK(H150),OR(ISBLANK(I150),I150=0),OR(ISBLANK(J150),J150=0))</f>
        <v>1</v>
      </c>
      <c r="Q150" s="253" t="b">
        <f>AND(H150&gt;0,I150&gt;0,J150&gt;0)</f>
        <v>0</v>
      </c>
      <c r="R150" s="253" t="str">
        <f>IF(O150=הגדרות!$B$21,הגדרות!$B$25,IF(AND(OR(תקציב!O150=הגדרות!$B$17,תקציב!O150=הגדרות!$B$18,תקציב!O150=הגדרות!$B$22),ISBLANK(תקציב!M150)),הגדרות!$B$25,הגדרות!$B$24))</f>
        <v>כן</v>
      </c>
      <c r="S150" s="254">
        <f>IF(R150=הגדרות!$B$24,1,-1)</f>
        <v>1</v>
      </c>
    </row>
    <row r="151" spans="2:19" ht="17.100000000000001" customHeight="1" x14ac:dyDescent="0.25">
      <c r="B151" s="382"/>
      <c r="C151" s="318"/>
      <c r="D151" s="146" t="str">
        <f>IFERROR(VLOOKUP($B$3,'מק"ט'!$B$2:$C$27,2,FALSE)&amp;VLOOKUP(H151,'מק"ט'!D:E,2,FALSE)&amp;VLOOKUP(E151,'מק"ט'!H:I,2,FALSE),"")</f>
        <v/>
      </c>
      <c r="E151" s="348" t="s">
        <v>129</v>
      </c>
      <c r="F151" s="349"/>
      <c r="G151" s="154"/>
      <c r="H151" s="150"/>
      <c r="I151" s="209"/>
      <c r="J151" s="212"/>
      <c r="K151" s="252">
        <f t="shared" si="34"/>
        <v>0</v>
      </c>
      <c r="L151" s="252" t="str">
        <f t="shared" si="35"/>
        <v/>
      </c>
      <c r="M151" s="385"/>
      <c r="N151" s="385"/>
      <c r="O151" s="249" t="str">
        <f>IF(OR(Q151,P151),IF(AND(VLOOKUP(E151,Таблица3345[[#All],[הוצאה]:[פירוט הוצאות]],3,FALSE)="כן",K151&gt;0),הגדרות!$B$18,הגדרות!$B$19),הגדרות!$B$21)</f>
        <v/>
      </c>
      <c r="P151" s="253" t="b">
        <f>AND(OR(ISBLANK(G151),G151=0),ISBLANK(H151),OR(ISBLANK(I151),I151=0),OR(ISBLANK(J151),J151=0))</f>
        <v>1</v>
      </c>
      <c r="Q151" s="253" t="b">
        <f>AND(G151&gt;0,H151&gt;0,I151&gt;0,J151&gt;0)</f>
        <v>0</v>
      </c>
      <c r="R151" s="253" t="str">
        <f>IF(O151=הגדרות!$B$21,הגדרות!$B$25,IF(AND(OR(תקציב!O151=הגדרות!$B$17,תקציב!O151=הגדרות!$B$18,תקציב!O151=הגדרות!$B$22),ISBLANK(תקציב!M151)),הגדרות!$B$25,הגדרות!$B$24))</f>
        <v>כן</v>
      </c>
      <c r="S151" s="254">
        <f>IF(R151=הגדרות!$B$24,1,-1)</f>
        <v>1</v>
      </c>
    </row>
    <row r="152" spans="2:19" ht="17.100000000000001" customHeight="1" x14ac:dyDescent="0.25">
      <c r="B152" s="382"/>
      <c r="C152" s="318"/>
      <c r="D152" s="146" t="str">
        <f>IFERROR(VLOOKUP($B$3,'מק"ט'!$B$2:$C$27,2,FALSE)&amp;VLOOKUP(H152,'מק"ט'!D:E,2,FALSE)&amp;VLOOKUP(E152,'מק"ט'!H:I,2,FALSE),"")</f>
        <v/>
      </c>
      <c r="E152" s="348" t="s">
        <v>483</v>
      </c>
      <c r="F152" s="349"/>
      <c r="G152" s="155" t="s">
        <v>78</v>
      </c>
      <c r="H152" s="150"/>
      <c r="I152" s="209"/>
      <c r="J152" s="212"/>
      <c r="K152" s="252">
        <f t="shared" si="34"/>
        <v>0</v>
      </c>
      <c r="L152" s="252" t="str">
        <f t="shared" si="35"/>
        <v/>
      </c>
      <c r="M152" s="385"/>
      <c r="N152" s="385"/>
      <c r="O152" s="249" t="str">
        <f>IF(OR(Q152,P152),IF(AND(VLOOKUP(E152,Таблица3345[[#All],[הוצאה]:[פירוט הוצאות]],3,FALSE)="כן",K152&gt;0),הגדרות!$B$18,הגדרות!$B$19),הגדרות!$B$21)</f>
        <v/>
      </c>
      <c r="P152" s="253" t="b">
        <f t="shared" ref="P152:P162" si="38">AND(ISBLANK(H152),OR(ISBLANK(I152),I152=0),OR(ISBLANK(J152),J152=0))</f>
        <v>1</v>
      </c>
      <c r="Q152" s="253" t="b">
        <f t="shared" ref="Q152:Q162" si="39">AND(H152&gt;0,I152&gt;0,J152&gt;0)</f>
        <v>0</v>
      </c>
      <c r="R152" s="253" t="str">
        <f>IF(O152=הגדרות!$B$21,הגדרות!$B$25,IF(AND(OR(תקציב!O152=הגדרות!$B$17,תקציב!O152=הגדרות!$B$18,תקציב!O152=הגדרות!$B$22),ISBLANK(תקציב!M152)),הגדרות!$B$25,הגדרות!$B$24))</f>
        <v>כן</v>
      </c>
      <c r="S152" s="254">
        <f>IF(R152=הגדרות!$B$24,1,-1)</f>
        <v>1</v>
      </c>
    </row>
    <row r="153" spans="2:19" ht="17.100000000000001" customHeight="1" x14ac:dyDescent="0.25">
      <c r="B153" s="382"/>
      <c r="C153" s="318"/>
      <c r="D153" s="146" t="str">
        <f>IFERROR(VLOOKUP($B$3,'מק"ט'!$B$2:$C$27,2,FALSE)&amp;VLOOKUP(H153,'מק"ט'!D:E,2,FALSE)&amp;VLOOKUP(E153,'מק"ט'!H:I,2,FALSE),"")</f>
        <v/>
      </c>
      <c r="E153" s="348" t="s">
        <v>131</v>
      </c>
      <c r="F153" s="349"/>
      <c r="G153" s="155" t="s">
        <v>78</v>
      </c>
      <c r="H153" s="150"/>
      <c r="I153" s="209"/>
      <c r="J153" s="212"/>
      <c r="K153" s="252">
        <f t="shared" si="34"/>
        <v>0</v>
      </c>
      <c r="L153" s="252" t="str">
        <f t="shared" si="35"/>
        <v/>
      </c>
      <c r="M153" s="385"/>
      <c r="N153" s="385"/>
      <c r="O153" s="249" t="str">
        <f>IF(OR(Q153,P153),IF(AND(VLOOKUP(E153,Таблица3345[[#All],[הוצאה]:[פירוט הוצאות]],3,FALSE)="כן",K153&gt;0),הגדרות!$B$18,הגדרות!$B$19),הגדרות!$B$21)</f>
        <v/>
      </c>
      <c r="P153" s="253" t="b">
        <f t="shared" si="38"/>
        <v>1</v>
      </c>
      <c r="Q153" s="253" t="b">
        <f t="shared" si="39"/>
        <v>0</v>
      </c>
      <c r="R153" s="253" t="str">
        <f>IF(O153=הגדרות!$B$21,הגדרות!$B$25,IF(AND(OR(תקציב!O153=הגדרות!$B$17,תקציב!O153=הגדרות!$B$18,תקציב!O153=הגדרות!$B$22),ISBLANK(תקציב!M153)),הגדרות!$B$25,הגדרות!$B$24))</f>
        <v>כן</v>
      </c>
      <c r="S153" s="254">
        <f>IF(R153=הגדרות!$B$24,1,-1)</f>
        <v>1</v>
      </c>
    </row>
    <row r="154" spans="2:19" ht="17.100000000000001" customHeight="1" x14ac:dyDescent="0.25">
      <c r="B154" s="382"/>
      <c r="C154" s="318"/>
      <c r="D154" s="146" t="str">
        <f>IFERROR(VLOOKUP($B$3,'מק"ט'!$B$2:$C$27,2,FALSE)&amp;VLOOKUP(H154,'מק"ט'!D:E,2,FALSE)&amp;VLOOKUP(E154,'מק"ט'!H:I,2,FALSE),"")</f>
        <v/>
      </c>
      <c r="E154" s="348" t="s">
        <v>132</v>
      </c>
      <c r="F154" s="349"/>
      <c r="G154" s="155" t="s">
        <v>78</v>
      </c>
      <c r="H154" s="150"/>
      <c r="I154" s="209"/>
      <c r="J154" s="212"/>
      <c r="K154" s="252">
        <f t="shared" si="34"/>
        <v>0</v>
      </c>
      <c r="L154" s="252" t="str">
        <f t="shared" si="35"/>
        <v/>
      </c>
      <c r="M154" s="385"/>
      <c r="N154" s="385"/>
      <c r="O154" s="249" t="str">
        <f>IF(OR(Q154,P154),IF(AND(VLOOKUP(E154,Таблица3345[[#All],[הוצאה]:[פירוט הוצאות]],3,FALSE)="כן",K154&gt;0),הגדרות!$B$18,הגדרות!$B$19),הגדרות!$B$21)</f>
        <v/>
      </c>
      <c r="P154" s="253" t="b">
        <f t="shared" si="38"/>
        <v>1</v>
      </c>
      <c r="Q154" s="253" t="b">
        <f t="shared" si="39"/>
        <v>0</v>
      </c>
      <c r="R154" s="253" t="str">
        <f>IF(O154=הגדרות!$B$21,הגדרות!$B$25,IF(AND(OR(תקציב!O154=הגדרות!$B$17,תקציב!O154=הגדרות!$B$18,תקציב!O154=הגדרות!$B$22),ISBLANK(תקציב!M154)),הגדרות!$B$25,הגדרות!$B$24))</f>
        <v>כן</v>
      </c>
      <c r="S154" s="254">
        <f>IF(R154=הגדרות!$B$24,1,-1)</f>
        <v>1</v>
      </c>
    </row>
    <row r="155" spans="2:19" ht="17.100000000000001" customHeight="1" x14ac:dyDescent="0.25">
      <c r="B155" s="382"/>
      <c r="C155" s="318"/>
      <c r="D155" s="146" t="str">
        <f>IFERROR(VLOOKUP($B$3,'מק"ט'!$B$2:$C$27,2,FALSE)&amp;VLOOKUP(H155,'מק"ט'!D:E,2,FALSE)&amp;VLOOKUP(E155,'מק"ט'!H:I,2,FALSE),"")</f>
        <v/>
      </c>
      <c r="E155" s="348" t="s">
        <v>133</v>
      </c>
      <c r="F155" s="349"/>
      <c r="G155" s="155" t="s">
        <v>78</v>
      </c>
      <c r="H155" s="150"/>
      <c r="I155" s="209"/>
      <c r="J155" s="212"/>
      <c r="K155" s="252">
        <f t="shared" si="34"/>
        <v>0</v>
      </c>
      <c r="L155" s="252" t="str">
        <f t="shared" si="35"/>
        <v/>
      </c>
      <c r="M155" s="385"/>
      <c r="N155" s="385"/>
      <c r="O155" s="249" t="str">
        <f>IF(OR(Q155,P155),IF(AND(VLOOKUP(E155,Таблица3345[[#All],[הוצאה]:[פירוט הוצאות]],3,FALSE)="כן",K155&gt;0),הגדרות!$B$18,הגדרות!$B$19),הגדרות!$B$21)</f>
        <v/>
      </c>
      <c r="P155" s="253" t="b">
        <f t="shared" si="38"/>
        <v>1</v>
      </c>
      <c r="Q155" s="253" t="b">
        <f t="shared" si="39"/>
        <v>0</v>
      </c>
      <c r="R155" s="253" t="str">
        <f>IF(O155=הגדרות!$B$21,הגדרות!$B$25,IF(AND(OR(תקציב!O155=הגדרות!$B$17,תקציב!O155=הגדרות!$B$18,תקציב!O155=הגדרות!$B$22),ISBLANK(תקציב!M155)),הגדרות!$B$25,הגדרות!$B$24))</f>
        <v>כן</v>
      </c>
      <c r="S155" s="254">
        <f>IF(R155=הגדרות!$B$24,1,-1)</f>
        <v>1</v>
      </c>
    </row>
    <row r="156" spans="2:19" ht="17.100000000000001" customHeight="1" x14ac:dyDescent="0.25">
      <c r="B156" s="382"/>
      <c r="C156" s="318"/>
      <c r="D156" s="146" t="str">
        <f>IFERROR(VLOOKUP($B$3,'מק"ט'!$B$2:$C$27,2,FALSE)&amp;VLOOKUP(H156,'מק"ט'!D:E,2,FALSE)&amp;VLOOKUP(E156,'מק"ט'!H:I,2,FALSE),"")</f>
        <v/>
      </c>
      <c r="E156" s="348" t="s">
        <v>272</v>
      </c>
      <c r="F156" s="349"/>
      <c r="G156" s="155" t="s">
        <v>78</v>
      </c>
      <c r="H156" s="150"/>
      <c r="I156" s="209"/>
      <c r="J156" s="212"/>
      <c r="K156" s="252">
        <f t="shared" si="34"/>
        <v>0</v>
      </c>
      <c r="L156" s="252" t="str">
        <f t="shared" si="35"/>
        <v/>
      </c>
      <c r="M156" s="385"/>
      <c r="N156" s="385"/>
      <c r="O156" s="249" t="str">
        <f>IF(OR(Q156,P156),IF(AND(VLOOKUP(E156,Таблица3345[[#All],[הוצאה]:[פירוט הוצאות]],3,FALSE)="כן",K156&gt;0),הגדרות!$B$18,הגדרות!$B$19),הגדרות!$B$21)</f>
        <v/>
      </c>
      <c r="P156" s="253" t="b">
        <f t="shared" si="38"/>
        <v>1</v>
      </c>
      <c r="Q156" s="253" t="b">
        <f t="shared" si="39"/>
        <v>0</v>
      </c>
      <c r="R156" s="253" t="str">
        <f>IF(O156=הגדרות!$B$21,הגדרות!$B$25,IF(AND(OR(תקציב!O156=הגדרות!$B$17,תקציב!O156=הגדרות!$B$18,תקציב!O156=הגדרות!$B$22),ISBLANK(תקציב!M156)),הגדרות!$B$25,הגדרות!$B$24))</f>
        <v>כן</v>
      </c>
      <c r="S156" s="254">
        <f>IF(R156=הגדרות!$B$24,1,-1)</f>
        <v>1</v>
      </c>
    </row>
    <row r="157" spans="2:19" ht="17.100000000000001" customHeight="1" x14ac:dyDescent="0.25">
      <c r="B157" s="382"/>
      <c r="C157" s="318"/>
      <c r="D157" s="146" t="str">
        <f>IFERROR(VLOOKUP($B$3,'מק"ט'!$B$2:$C$27,2,FALSE)&amp;VLOOKUP(H157,'מק"ט'!D:E,2,FALSE)&amp;VLOOKUP(E157,'מק"ט'!H:I,2,FALSE),"")</f>
        <v/>
      </c>
      <c r="E157" s="348" t="s">
        <v>134</v>
      </c>
      <c r="F157" s="349"/>
      <c r="G157" s="155" t="s">
        <v>78</v>
      </c>
      <c r="H157" s="150"/>
      <c r="I157" s="209"/>
      <c r="J157" s="212"/>
      <c r="K157" s="252">
        <f t="shared" si="34"/>
        <v>0</v>
      </c>
      <c r="L157" s="252" t="str">
        <f t="shared" si="35"/>
        <v/>
      </c>
      <c r="M157" s="385"/>
      <c r="N157" s="385"/>
      <c r="O157" s="249" t="str">
        <f>IF(OR(Q157,P157),IF(AND(VLOOKUP(E157,Таблица3345[[#All],[הוצאה]:[פירוט הוצאות]],3,FALSE)="כן",K157&gt;0),הגדרות!$B$18,הגדרות!$B$19),הגדרות!$B$21)</f>
        <v/>
      </c>
      <c r="P157" s="253" t="b">
        <f t="shared" si="38"/>
        <v>1</v>
      </c>
      <c r="Q157" s="253" t="b">
        <f t="shared" si="39"/>
        <v>0</v>
      </c>
      <c r="R157" s="253" t="str">
        <f>IF(O157=הגדרות!$B$21,הגדרות!$B$25,IF(AND(OR(תקציב!O157=הגדרות!$B$17,תקציב!O157=הגדרות!$B$18,תקציב!O157=הגדרות!$B$22),ISBLANK(תקציב!M157)),הגדרות!$B$25,הגדרות!$B$24))</f>
        <v>כן</v>
      </c>
      <c r="S157" s="254">
        <f>IF(R157=הגדרות!$B$24,1,-1)</f>
        <v>1</v>
      </c>
    </row>
    <row r="158" spans="2:19" ht="17.100000000000001" customHeight="1" x14ac:dyDescent="0.25">
      <c r="B158" s="382"/>
      <c r="C158" s="318"/>
      <c r="D158" s="146" t="str">
        <f>IFERROR(VLOOKUP($B$3,'מק"ט'!$B$2:$C$27,2,FALSE)&amp;VLOOKUP(H158,'מק"ט'!D:E,2,FALSE)&amp;VLOOKUP(E158,'מק"ט'!H:I,2,FALSE),"")</f>
        <v/>
      </c>
      <c r="E158" s="348" t="s">
        <v>181</v>
      </c>
      <c r="F158" s="349"/>
      <c r="G158" s="155" t="s">
        <v>78</v>
      </c>
      <c r="H158" s="150"/>
      <c r="I158" s="209"/>
      <c r="J158" s="212"/>
      <c r="K158" s="252">
        <f t="shared" si="34"/>
        <v>0</v>
      </c>
      <c r="L158" s="252" t="str">
        <f t="shared" si="35"/>
        <v/>
      </c>
      <c r="M158" s="385"/>
      <c r="N158" s="385"/>
      <c r="O158" s="249" t="str">
        <f>IF(OR(Q158,P158),IF(AND(VLOOKUP(E158,Таблица3345[[#All],[הוצאה]:[פירוט הוצאות]],3,FALSE)="כן",K158&gt;0),הגדרות!$B$18,הגדרות!$B$19),הגדרות!$B$21)</f>
        <v/>
      </c>
      <c r="P158" s="253" t="b">
        <f t="shared" si="38"/>
        <v>1</v>
      </c>
      <c r="Q158" s="253" t="b">
        <f t="shared" si="39"/>
        <v>0</v>
      </c>
      <c r="R158" s="253" t="str">
        <f>IF(O158=הגדרות!$B$21,הגדרות!$B$25,IF(AND(OR(תקציב!O158=הגדרות!$B$17,תקציב!O158=הגדרות!$B$18,תקציב!O158=הגדרות!$B$22),ISBLANK(תקציב!M158)),הגדרות!$B$25,הגדרות!$B$24))</f>
        <v>כן</v>
      </c>
      <c r="S158" s="254">
        <f>IF(R158=הגדרות!$B$24,1,-1)</f>
        <v>1</v>
      </c>
    </row>
    <row r="159" spans="2:19" ht="17.100000000000001" customHeight="1" x14ac:dyDescent="0.25">
      <c r="B159" s="382"/>
      <c r="C159" s="318"/>
      <c r="D159" s="146" t="str">
        <f>IFERROR(VLOOKUP($B$3,'מק"ט'!$B$2:$C$27,2,FALSE)&amp;VLOOKUP(H159,'מק"ט'!D:E,2,FALSE)&amp;VLOOKUP(E159,'מק"ט'!H:I,2,FALSE),"")</f>
        <v/>
      </c>
      <c r="E159" s="348" t="s">
        <v>181</v>
      </c>
      <c r="F159" s="349"/>
      <c r="G159" s="155" t="s">
        <v>78</v>
      </c>
      <c r="H159" s="150"/>
      <c r="I159" s="209"/>
      <c r="J159" s="212"/>
      <c r="K159" s="252">
        <f t="shared" si="34"/>
        <v>0</v>
      </c>
      <c r="L159" s="252" t="str">
        <f t="shared" si="35"/>
        <v/>
      </c>
      <c r="M159" s="385"/>
      <c r="N159" s="385"/>
      <c r="O159" s="249" t="str">
        <f>IF(OR(Q159,P159),IF(AND(VLOOKUP(E159,Таблица3345[[#All],[הוצאה]:[פירוט הוצאות]],3,FALSE)="כן",K159&gt;0),הגדרות!$B$18,הגדרות!$B$19),הגדרות!$B$21)</f>
        <v/>
      </c>
      <c r="P159" s="253" t="b">
        <f t="shared" si="38"/>
        <v>1</v>
      </c>
      <c r="Q159" s="253" t="b">
        <f t="shared" si="39"/>
        <v>0</v>
      </c>
      <c r="R159" s="253" t="str">
        <f>IF(O159=הגדרות!$B$21,הגדרות!$B$25,IF(AND(OR(תקציב!O159=הגדרות!$B$17,תקציב!O159=הגדרות!$B$18,תקציב!O159=הגדרות!$B$22),ISBLANK(תקציב!M159)),הגדרות!$B$25,הגדרות!$B$24))</f>
        <v>כן</v>
      </c>
      <c r="S159" s="254">
        <f>IF(R159=הגדרות!$B$24,1,-1)</f>
        <v>1</v>
      </c>
    </row>
    <row r="160" spans="2:19" ht="17.100000000000001" customHeight="1" x14ac:dyDescent="0.25">
      <c r="B160" s="382"/>
      <c r="C160" s="318"/>
      <c r="D160" s="146" t="str">
        <f>IFERROR(VLOOKUP($B$3,'מק"ט'!$B$2:$C$27,2,FALSE)&amp;VLOOKUP(H160,'מק"ט'!D:E,2,FALSE)&amp;VLOOKUP(E160,'מק"ט'!H:I,2,FALSE),"")</f>
        <v/>
      </c>
      <c r="E160" s="348" t="s">
        <v>181</v>
      </c>
      <c r="F160" s="349"/>
      <c r="G160" s="155" t="s">
        <v>78</v>
      </c>
      <c r="H160" s="150"/>
      <c r="I160" s="209"/>
      <c r="J160" s="212"/>
      <c r="K160" s="252">
        <f t="shared" si="34"/>
        <v>0</v>
      </c>
      <c r="L160" s="252" t="str">
        <f t="shared" si="35"/>
        <v/>
      </c>
      <c r="M160" s="385"/>
      <c r="N160" s="385"/>
      <c r="O160" s="249" t="str">
        <f>IF(OR(Q160,P160),IF(AND(VLOOKUP(E160,Таблица3345[[#All],[הוצאה]:[פירוט הוצאות]],3,FALSE)="כן",K160&gt;0),הגדרות!$B$18,הגדרות!$B$19),הגדרות!$B$21)</f>
        <v/>
      </c>
      <c r="P160" s="253" t="b">
        <f t="shared" si="38"/>
        <v>1</v>
      </c>
      <c r="Q160" s="253" t="b">
        <f t="shared" si="39"/>
        <v>0</v>
      </c>
      <c r="R160" s="253" t="str">
        <f>IF(O160=הגדרות!$B$21,הגדרות!$B$25,IF(AND(OR(תקציב!O160=הגדרות!$B$17,תקציב!O160=הגדרות!$B$18,תקציב!O160=הגדרות!$B$22),ISBLANK(תקציב!M160)),הגדרות!$B$25,הגדרות!$B$24))</f>
        <v>כן</v>
      </c>
      <c r="S160" s="254">
        <f>IF(R160=הגדרות!$B$24,1,-1)</f>
        <v>1</v>
      </c>
    </row>
    <row r="161" spans="2:19" ht="17.100000000000001" customHeight="1" x14ac:dyDescent="0.25">
      <c r="B161" s="382"/>
      <c r="C161" s="318"/>
      <c r="D161" s="146" t="str">
        <f>IFERROR(VLOOKUP($B$3,'מק"ט'!$B$2:$C$27,2,FALSE)&amp;VLOOKUP(H161,'מק"ט'!D:E,2,FALSE)&amp;VLOOKUP(E161,'מק"ט'!H:I,2,FALSE),"")</f>
        <v/>
      </c>
      <c r="E161" s="348" t="s">
        <v>181</v>
      </c>
      <c r="F161" s="349"/>
      <c r="G161" s="155" t="s">
        <v>78</v>
      </c>
      <c r="H161" s="150"/>
      <c r="I161" s="209"/>
      <c r="J161" s="212"/>
      <c r="K161" s="252">
        <f t="shared" si="34"/>
        <v>0</v>
      </c>
      <c r="L161" s="252" t="str">
        <f t="shared" si="35"/>
        <v/>
      </c>
      <c r="M161" s="385"/>
      <c r="N161" s="385"/>
      <c r="O161" s="249" t="str">
        <f>IF(OR(Q161,P161),IF(AND(VLOOKUP(E161,Таблица3345[[#All],[הוצאה]:[פירוט הוצאות]],3,FALSE)="כן",K161&gt;0),הגדרות!$B$18,הגדרות!$B$19),הגדרות!$B$21)</f>
        <v/>
      </c>
      <c r="P161" s="253" t="b">
        <f t="shared" si="38"/>
        <v>1</v>
      </c>
      <c r="Q161" s="253" t="b">
        <f t="shared" si="39"/>
        <v>0</v>
      </c>
      <c r="R161" s="253" t="str">
        <f>IF(O161=הגדרות!$B$21,הגדרות!$B$25,IF(AND(OR(תקציב!O161=הגדרות!$B$17,תקציב!O161=הגדרות!$B$18,תקציב!O161=הגדרות!$B$22),ISBLANK(תקציב!M161)),הגדרות!$B$25,הגדרות!$B$24))</f>
        <v>כן</v>
      </c>
      <c r="S161" s="254">
        <f>IF(R161=הגדרות!$B$24,1,-1)</f>
        <v>1</v>
      </c>
    </row>
    <row r="162" spans="2:19" ht="17.100000000000001" customHeight="1" thickBot="1" x14ac:dyDescent="0.3">
      <c r="B162" s="382"/>
      <c r="C162" s="318"/>
      <c r="D162" s="146" t="str">
        <f>IFERROR(VLOOKUP($B$3,'מק"ט'!$B$2:$C$27,2,FALSE)&amp;VLOOKUP(H162,'מק"ט'!D:E,2,FALSE)&amp;VLOOKUP(E162,'מק"ט'!H:I,2,FALSE),"")</f>
        <v/>
      </c>
      <c r="E162" s="348" t="s">
        <v>181</v>
      </c>
      <c r="F162" s="349"/>
      <c r="G162" s="155" t="s">
        <v>78</v>
      </c>
      <c r="H162" s="150"/>
      <c r="I162" s="209"/>
      <c r="J162" s="212"/>
      <c r="K162" s="252">
        <f t="shared" si="34"/>
        <v>0</v>
      </c>
      <c r="L162" s="252" t="str">
        <f t="shared" si="35"/>
        <v/>
      </c>
      <c r="M162" s="385"/>
      <c r="N162" s="385"/>
      <c r="O162" s="249" t="str">
        <f>IF(OR(Q162,P162),IF(AND(VLOOKUP(E162,Таблица3345[[#All],[הוצאה]:[פירוט הוצאות]],3,FALSE)="כן",K162&gt;0),הגדרות!$B$18,הגדרות!$B$19),הגדרות!$B$21)</f>
        <v/>
      </c>
      <c r="P162" s="253" t="b">
        <f t="shared" si="38"/>
        <v>1</v>
      </c>
      <c r="Q162" s="253" t="b">
        <f t="shared" si="39"/>
        <v>0</v>
      </c>
      <c r="R162" s="253" t="str">
        <f>IF(O162=הגדרות!$B$21,הגדרות!$B$25,IF(AND(OR(תקציב!O162=הגדרות!$B$17,תקציב!O162=הגדרות!$B$18,תקציב!O162=הגדרות!$B$22),ISBLANK(תקציב!M162)),הגדרות!$B$25,הגדרות!$B$24))</f>
        <v>כן</v>
      </c>
      <c r="S162" s="254">
        <f>IF(R162=הגדרות!$B$24,1,-1)</f>
        <v>1</v>
      </c>
    </row>
    <row r="163" spans="2:19" ht="18.75" thickBot="1" x14ac:dyDescent="0.25">
      <c r="B163" s="164"/>
      <c r="C163" s="148"/>
      <c r="D163" s="148"/>
      <c r="E163" s="336" t="s">
        <v>136</v>
      </c>
      <c r="F163" s="337"/>
      <c r="G163" s="164"/>
      <c r="H163" s="148"/>
      <c r="I163" s="148"/>
      <c r="J163" s="257"/>
      <c r="K163" s="266">
        <f>SUM(K142:K162)</f>
        <v>0</v>
      </c>
      <c r="L163" s="266">
        <f>SUM(L142:L162)</f>
        <v>0</v>
      </c>
      <c r="M163" s="289"/>
      <c r="N163" s="289"/>
      <c r="O163" s="243"/>
      <c r="P163" s="148"/>
      <c r="Q163" s="148"/>
      <c r="R163" s="148"/>
      <c r="S163" s="258"/>
    </row>
    <row r="164" spans="2:19" ht="16.5" customHeight="1" thickBot="1" x14ac:dyDescent="0.3">
      <c r="B164" s="261"/>
      <c r="C164" s="253"/>
      <c r="D164" s="146"/>
      <c r="E164" s="350"/>
      <c r="F164" s="351"/>
      <c r="G164" s="261"/>
      <c r="H164" s="253"/>
      <c r="I164" s="253"/>
      <c r="J164" s="262"/>
      <c r="K164" s="270"/>
      <c r="L164" s="270"/>
      <c r="M164" s="392"/>
      <c r="N164" s="392"/>
      <c r="O164" s="249"/>
      <c r="P164" s="253"/>
      <c r="Q164" s="253"/>
      <c r="R164" s="253"/>
      <c r="S164" s="13"/>
    </row>
    <row r="165" spans="2:19" ht="18.75" thickBot="1" x14ac:dyDescent="0.25">
      <c r="B165" s="164"/>
      <c r="C165" s="148"/>
      <c r="D165" s="148"/>
      <c r="E165" s="336" t="s">
        <v>138</v>
      </c>
      <c r="F165" s="337"/>
      <c r="G165" s="164"/>
      <c r="H165" s="148"/>
      <c r="I165" s="148"/>
      <c r="J165" s="257"/>
      <c r="K165" s="266">
        <f>SUM(K163,K141,K122,K112,K94,K67,K53,K38)</f>
        <v>0</v>
      </c>
      <c r="L165" s="266">
        <f>SUM(L163,L141,L122,L112,L94,L67,L53,L38)</f>
        <v>0</v>
      </c>
      <c r="M165" s="289"/>
      <c r="N165" s="289"/>
      <c r="O165" s="243"/>
      <c r="P165" s="148"/>
      <c r="Q165" s="148"/>
      <c r="R165" s="148"/>
      <c r="S165" s="258"/>
    </row>
    <row r="166" spans="2:19" x14ac:dyDescent="0.25">
      <c r="B166" s="261"/>
      <c r="C166" s="253"/>
      <c r="D166" s="146"/>
      <c r="E166" s="344"/>
      <c r="F166" s="345"/>
      <c r="G166" s="261"/>
      <c r="H166" s="253"/>
      <c r="I166" s="253"/>
      <c r="J166" s="262"/>
      <c r="K166" s="270"/>
      <c r="L166" s="270"/>
      <c r="M166" s="393"/>
      <c r="N166" s="393"/>
      <c r="O166" s="249"/>
      <c r="P166" s="253"/>
      <c r="Q166" s="253"/>
      <c r="R166" s="253"/>
      <c r="S166" s="13"/>
    </row>
    <row r="167" spans="2:19" ht="15.75" x14ac:dyDescent="0.25">
      <c r="B167" s="261"/>
      <c r="C167" s="253"/>
      <c r="D167" s="146" t="str">
        <f>IFERROR(VLOOKUP($B$3,'מק"ט'!$B$2:$C$27,2,FALSE)&amp;"15"&amp;VLOOKUP(E167,'מק"ט'!H:I,2,FALSE),"")</f>
        <v/>
      </c>
      <c r="E167" s="338" t="s">
        <v>29</v>
      </c>
      <c r="F167" s="339"/>
      <c r="G167" s="261"/>
      <c r="H167" s="253"/>
      <c r="I167" s="162">
        <v>0</v>
      </c>
      <c r="J167" s="263"/>
      <c r="K167" s="268">
        <f>I167*K165</f>
        <v>0</v>
      </c>
      <c r="L167" s="268" t="str">
        <f t="shared" ref="L167:L174" si="40">IFERROR(K167/$D$7,"")</f>
        <v/>
      </c>
      <c r="M167" s="335"/>
      <c r="N167" s="335"/>
      <c r="O167" s="249"/>
      <c r="P167" s="253"/>
      <c r="Q167" s="253"/>
      <c r="R167" s="253"/>
      <c r="S167" s="13"/>
    </row>
    <row r="168" spans="2:19" s="2" customFormat="1" ht="18.75" customHeight="1" thickBot="1" x14ac:dyDescent="0.25">
      <c r="B168" s="214"/>
      <c r="C168" s="156"/>
      <c r="D168" s="157"/>
      <c r="E168" s="342" t="s">
        <v>139</v>
      </c>
      <c r="F168" s="343"/>
      <c r="G168" s="214"/>
      <c r="H168" s="156"/>
      <c r="I168" s="156"/>
      <c r="J168" s="215"/>
      <c r="K168" s="217">
        <f>SUM(K167,K165)</f>
        <v>0</v>
      </c>
      <c r="L168" s="217" t="str">
        <f t="shared" si="40"/>
        <v/>
      </c>
      <c r="M168" s="291"/>
      <c r="N168" s="291"/>
      <c r="O168" s="161"/>
      <c r="P168" s="156"/>
      <c r="Q168" s="156"/>
      <c r="R168" s="156"/>
      <c r="S168" s="216"/>
    </row>
    <row r="169" spans="2:19" ht="17.100000000000001" customHeight="1" thickTop="1" x14ac:dyDescent="0.25">
      <c r="B169" s="382" t="s">
        <v>146</v>
      </c>
      <c r="C169" s="318"/>
      <c r="D169" s="146" t="str">
        <f>IFERROR(VLOOKUP($B$3,'מק"ט'!$B$2:$C$27,2,FALSE)&amp;VLOOKUP(H169,'מק"ט'!D:E,2,FALSE)&amp;VLOOKUP(E169,'מק"ט'!H:I,2,FALSE),"")</f>
        <v/>
      </c>
      <c r="E169" s="348" t="s">
        <v>140</v>
      </c>
      <c r="F169" s="349"/>
      <c r="G169" s="24" t="s">
        <v>78</v>
      </c>
      <c r="H169" s="150"/>
      <c r="I169" s="209"/>
      <c r="J169" s="212"/>
      <c r="K169" s="252">
        <f t="shared" ref="K169" si="41">J169*I169</f>
        <v>0</v>
      </c>
      <c r="L169" s="252" t="str">
        <f t="shared" si="40"/>
        <v/>
      </c>
      <c r="M169" s="385"/>
      <c r="N169" s="385"/>
      <c r="O169" s="249" t="str">
        <f>IF(OR(Q169,P169),IF(AND(VLOOKUP(E169,Таблица3345[[#All],[הוצאה]:[פירוט הוצאות]],3,FALSE)="כן",K169&gt;0),הגדרות!$B$18,הגדרות!$B$19),הגדרות!$B$21)</f>
        <v/>
      </c>
      <c r="P169" s="253" t="b">
        <f t="shared" ref="P169:P174" si="42">AND(ISBLANK(H169),OR(ISBLANK(I169),I169=0),OR(ISBLANK(J169),J169=0))</f>
        <v>1</v>
      </c>
      <c r="Q169" s="253" t="b">
        <f t="shared" ref="Q169:Q174" si="43">AND(H169&gt;0,I169&gt;0,J169&gt;0)</f>
        <v>0</v>
      </c>
      <c r="R169" s="253" t="str">
        <f>IF(O169=הגדרות!$B$21,הגדרות!$B$25,IF(AND(OR(תקציב!O169=הגדרות!$B$17,תקציב!O169=הגדרות!$B$18,תקציב!O169=הגדרות!$B$22),ISBLANK(תקציב!M169)),הגדרות!$B$25,הגדרות!$B$24))</f>
        <v>כן</v>
      </c>
      <c r="S169" s="254">
        <f>IF(R169=הגדרות!$B$24,1,-1)</f>
        <v>1</v>
      </c>
    </row>
    <row r="170" spans="2:19" ht="17.100000000000001" customHeight="1" x14ac:dyDescent="0.25">
      <c r="B170" s="382"/>
      <c r="C170" s="318"/>
      <c r="D170" s="146" t="str">
        <f>IFERROR(VLOOKUP($B$3,'מק"ט'!$B$2:$C$27,2,FALSE)&amp;VLOOKUP(H170,'מק"ט'!D:E,2,FALSE)&amp;VLOOKUP(E170,'מק"ט'!H:I,2,FALSE),"")</f>
        <v/>
      </c>
      <c r="E170" s="348" t="s">
        <v>141</v>
      </c>
      <c r="F170" s="349"/>
      <c r="G170" s="24" t="s">
        <v>78</v>
      </c>
      <c r="H170" s="150"/>
      <c r="I170" s="209"/>
      <c r="J170" s="212"/>
      <c r="K170" s="252">
        <f t="shared" ref="K170:K174" si="44">J170*I170</f>
        <v>0</v>
      </c>
      <c r="L170" s="252" t="str">
        <f t="shared" si="40"/>
        <v/>
      </c>
      <c r="M170" s="385"/>
      <c r="N170" s="385"/>
      <c r="O170" s="249" t="str">
        <f>IF(OR(Q170,P170),IF(AND(VLOOKUP(E170,Таблица3345[[#All],[הוצאה]:[פירוט הוצאות]],3,FALSE)="כן",K170&gt;0),הגדרות!$B$18,הגדרות!$B$19),הגדרות!$B$21)</f>
        <v/>
      </c>
      <c r="P170" s="253" t="b">
        <f t="shared" si="42"/>
        <v>1</v>
      </c>
      <c r="Q170" s="253" t="b">
        <f t="shared" si="43"/>
        <v>0</v>
      </c>
      <c r="R170" s="253" t="str">
        <f>IF(O170=הגדרות!$B$21,הגדרות!$B$25,IF(AND(OR(תקציב!O170=הגדרות!$B$17,תקציב!O170=הגדרות!$B$18,תקציב!O170=הגדרות!$B$22),ISBLANK(תקציב!M170)),הגדרות!$B$25,הגדרות!$B$24))</f>
        <v>כן</v>
      </c>
      <c r="S170" s="254">
        <f>IF(R170=הגדרות!$B$24,1,-1)</f>
        <v>1</v>
      </c>
    </row>
    <row r="171" spans="2:19" ht="17.100000000000001" customHeight="1" x14ac:dyDescent="0.25">
      <c r="B171" s="382"/>
      <c r="C171" s="318"/>
      <c r="D171" s="146" t="str">
        <f>IFERROR(VLOOKUP($B$3,'מק"ט'!$B$2:$C$27,2,FALSE)&amp;VLOOKUP(H171,'מק"ט'!D:E,2,FALSE)&amp;VLOOKUP(E171,'מק"ט'!H:I,2,FALSE),"")</f>
        <v/>
      </c>
      <c r="E171" s="348" t="s">
        <v>142</v>
      </c>
      <c r="F171" s="349"/>
      <c r="G171" s="24" t="s">
        <v>78</v>
      </c>
      <c r="H171" s="150"/>
      <c r="I171" s="209"/>
      <c r="J171" s="212"/>
      <c r="K171" s="252">
        <f t="shared" si="44"/>
        <v>0</v>
      </c>
      <c r="L171" s="252" t="str">
        <f t="shared" si="40"/>
        <v/>
      </c>
      <c r="M171" s="385"/>
      <c r="N171" s="385"/>
      <c r="O171" s="249" t="str">
        <f>IF(OR(Q171,P171),IF(AND(VLOOKUP(E171,Таблица3345[[#All],[הוצאה]:[פירוט הוצאות]],3,FALSE)="כן",K171&gt;0),הגדרות!$B$18,הגדרות!$B$19),הגדרות!$B$21)</f>
        <v/>
      </c>
      <c r="P171" s="253" t="b">
        <f t="shared" si="42"/>
        <v>1</v>
      </c>
      <c r="Q171" s="253" t="b">
        <f t="shared" si="43"/>
        <v>0</v>
      </c>
      <c r="R171" s="253" t="str">
        <f>IF(O171=הגדרות!$B$21,הגדרות!$B$25,IF(AND(OR(תקציב!O171=הגדרות!$B$17,תקציב!O171=הגדרות!$B$18,תקציב!O171=הגדרות!$B$22),ISBLANK(תקציב!M171)),הגדרות!$B$25,הגדרות!$B$24))</f>
        <v>כן</v>
      </c>
      <c r="S171" s="254">
        <f>IF(R171=הגדרות!$B$24,1,-1)</f>
        <v>1</v>
      </c>
    </row>
    <row r="172" spans="2:19" ht="17.100000000000001" customHeight="1" x14ac:dyDescent="0.25">
      <c r="B172" s="382"/>
      <c r="C172" s="318"/>
      <c r="D172" s="146" t="str">
        <f>IFERROR(VLOOKUP($B$3,'מק"ט'!$B$2:$C$27,2,FALSE)&amp;VLOOKUP(H172,'מק"ט'!D:E,2,FALSE)&amp;VLOOKUP(E172,'מק"ט'!H:I,2,FALSE),"")</f>
        <v/>
      </c>
      <c r="E172" s="348" t="s">
        <v>143</v>
      </c>
      <c r="F172" s="349"/>
      <c r="G172" s="24" t="s">
        <v>78</v>
      </c>
      <c r="H172" s="150"/>
      <c r="I172" s="209"/>
      <c r="J172" s="212"/>
      <c r="K172" s="252">
        <f t="shared" si="44"/>
        <v>0</v>
      </c>
      <c r="L172" s="252" t="str">
        <f t="shared" si="40"/>
        <v/>
      </c>
      <c r="M172" s="385"/>
      <c r="N172" s="385"/>
      <c r="O172" s="249" t="str">
        <f>IF(OR(Q172,P172),IF(AND(VLOOKUP(E172,Таблица3345[[#All],[הוצאה]:[פירוט הוצאות]],3,FALSE)="כן",K172&gt;0),הגדרות!$B$18,הגדרות!$B$19),הגדרות!$B$21)</f>
        <v/>
      </c>
      <c r="P172" s="253" t="b">
        <f t="shared" si="42"/>
        <v>1</v>
      </c>
      <c r="Q172" s="253" t="b">
        <f t="shared" si="43"/>
        <v>0</v>
      </c>
      <c r="R172" s="253" t="str">
        <f>IF(O172=הגדרות!$B$21,הגדרות!$B$25,IF(AND(OR(תקציב!O172=הגדרות!$B$17,תקציב!O172=הגדרות!$B$18,תקציב!O172=הגדרות!$B$22),ISBLANK(תקציב!M172)),הגדרות!$B$25,הגדרות!$B$24))</f>
        <v>כן</v>
      </c>
      <c r="S172" s="254">
        <f>IF(R172=הגדרות!$B$24,1,-1)</f>
        <v>1</v>
      </c>
    </row>
    <row r="173" spans="2:19" ht="17.100000000000001" customHeight="1" x14ac:dyDescent="0.25">
      <c r="B173" s="382"/>
      <c r="C173" s="318"/>
      <c r="D173" s="146" t="str">
        <f>IFERROR(VLOOKUP($B$3,'מק"ט'!$B$2:$C$27,2,FALSE)&amp;VLOOKUP(H173,'מק"ט'!D:E,2,FALSE)&amp;VLOOKUP(E173,'מק"ט'!H:I,2,FALSE),"")</f>
        <v/>
      </c>
      <c r="E173" s="348" t="s">
        <v>144</v>
      </c>
      <c r="F173" s="349"/>
      <c r="G173" s="24" t="s">
        <v>78</v>
      </c>
      <c r="H173" s="150"/>
      <c r="I173" s="209"/>
      <c r="J173" s="212"/>
      <c r="K173" s="252">
        <f t="shared" si="44"/>
        <v>0</v>
      </c>
      <c r="L173" s="252" t="str">
        <f t="shared" si="40"/>
        <v/>
      </c>
      <c r="M173" s="385"/>
      <c r="N173" s="385"/>
      <c r="O173" s="249" t="str">
        <f>IF(OR(Q173,P173),IF(AND(VLOOKUP(E173,Таблица3345[[#All],[הוצאה]:[פירוט הוצאות]],3,FALSE)="כן",K173&gt;0),הגדרות!$B$18,הגדרות!$B$19),הגדרות!$B$21)</f>
        <v/>
      </c>
      <c r="P173" s="253" t="b">
        <f t="shared" si="42"/>
        <v>1</v>
      </c>
      <c r="Q173" s="253" t="b">
        <f t="shared" si="43"/>
        <v>0</v>
      </c>
      <c r="R173" s="253" t="str">
        <f>IF(O173=הגדרות!$B$21,הגדרות!$B$25,IF(AND(OR(תקציב!O173=הגדרות!$B$17,תקציב!O173=הגדרות!$B$18,תקציב!O173=הגדרות!$B$22),ISBLANK(תקציב!M173)),הגדרות!$B$25,הגדרות!$B$24))</f>
        <v>כן</v>
      </c>
      <c r="S173" s="254">
        <f>IF(R173=הגדרות!$B$24,1,-1)</f>
        <v>1</v>
      </c>
    </row>
    <row r="174" spans="2:19" ht="17.100000000000001" customHeight="1" thickBot="1" x14ac:dyDescent="0.3">
      <c r="B174" s="382"/>
      <c r="C174" s="318"/>
      <c r="D174" s="146" t="str">
        <f>IFERROR(VLOOKUP($B$3,'מק"ט'!$B$2:$C$27,2,FALSE)&amp;VLOOKUP(H174,'מק"ט'!D:E,2,FALSE)&amp;VLOOKUP(E174,'מק"ט'!H:I,2,FALSE),"")</f>
        <v/>
      </c>
      <c r="E174" s="348" t="s">
        <v>117</v>
      </c>
      <c r="F174" s="349"/>
      <c r="G174" s="24" t="s">
        <v>78</v>
      </c>
      <c r="H174" s="150"/>
      <c r="I174" s="209"/>
      <c r="J174" s="212"/>
      <c r="K174" s="252">
        <f t="shared" si="44"/>
        <v>0</v>
      </c>
      <c r="L174" s="252" t="str">
        <f t="shared" si="40"/>
        <v/>
      </c>
      <c r="M174" s="387"/>
      <c r="N174" s="387"/>
      <c r="O174" s="249" t="str">
        <f>IF(OR(Q174,P174),IF(AND(VLOOKUP(E174,Таблица3345[[#All],[הוצאה]:[פירוט הוצאות]],3,FALSE)="כן",K174&gt;0),הגדרות!$B$18,הגדרות!$B$19),הגדרות!$B$21)</f>
        <v/>
      </c>
      <c r="P174" s="253" t="b">
        <f t="shared" si="42"/>
        <v>1</v>
      </c>
      <c r="Q174" s="253" t="b">
        <f t="shared" si="43"/>
        <v>0</v>
      </c>
      <c r="R174" s="253" t="str">
        <f>IF(O174=הגדרות!$B$21,הגדרות!$B$25,IF(AND(OR(תקציב!O174=הגדרות!$B$17,תקציב!O174=הגדרות!$B$18,תקציב!O174=הגדרות!$B$22),ISBLANK(תקציב!M174)),הגדרות!$B$25,הגדרות!$B$24))</f>
        <v>כן</v>
      </c>
      <c r="S174" s="254">
        <f>IF(R174=הגדרות!$B$24,1,-1)</f>
        <v>1</v>
      </c>
    </row>
    <row r="175" spans="2:19" ht="19.5" customHeight="1" thickBot="1" x14ac:dyDescent="0.25">
      <c r="B175" s="164"/>
      <c r="C175" s="148"/>
      <c r="D175" s="148"/>
      <c r="E175" s="336" t="s">
        <v>470</v>
      </c>
      <c r="F175" s="337"/>
      <c r="G175" s="164"/>
      <c r="H175" s="148"/>
      <c r="I175" s="334">
        <f>IFERROR(K175/K165,0%)</f>
        <v>0</v>
      </c>
      <c r="J175" s="257"/>
      <c r="K175" s="266">
        <f>SUM(K169:K174)</f>
        <v>0</v>
      </c>
      <c r="L175" s="266">
        <f>SUM(L169:L174)</f>
        <v>0</v>
      </c>
      <c r="M175" s="289"/>
      <c r="N175" s="289"/>
      <c r="O175" s="243"/>
      <c r="P175" s="148"/>
      <c r="Q175" s="148"/>
      <c r="R175" s="148"/>
      <c r="S175" s="258"/>
    </row>
    <row r="176" spans="2:19" ht="15.75" customHeight="1" x14ac:dyDescent="0.25">
      <c r="B176" s="272"/>
      <c r="C176" s="317"/>
      <c r="D176" s="146"/>
      <c r="E176" s="146"/>
      <c r="F176" s="251"/>
      <c r="G176" s="269"/>
      <c r="H176" s="274"/>
      <c r="I176" s="275"/>
      <c r="J176" s="276"/>
      <c r="K176" s="252"/>
      <c r="L176" s="252"/>
      <c r="M176" s="290"/>
      <c r="N176" s="290"/>
      <c r="O176" s="249"/>
      <c r="P176" s="253"/>
      <c r="Q176" s="253"/>
      <c r="R176" s="253"/>
      <c r="S176" s="254"/>
    </row>
    <row r="177" spans="2:19" s="2" customFormat="1" ht="18.75" customHeight="1" thickBot="1" x14ac:dyDescent="0.25">
      <c r="B177" s="214"/>
      <c r="C177" s="156"/>
      <c r="D177" s="157"/>
      <c r="E177" s="342" t="s">
        <v>145</v>
      </c>
      <c r="F177" s="343"/>
      <c r="G177" s="214"/>
      <c r="H177" s="156"/>
      <c r="I177" s="156"/>
      <c r="J177" s="215"/>
      <c r="K177" s="217">
        <f>SUM(K175,K168)</f>
        <v>0</v>
      </c>
      <c r="L177" s="217" t="str">
        <f>IFERROR(K177/$D$7,"")</f>
        <v/>
      </c>
      <c r="M177" s="291"/>
      <c r="N177" s="291"/>
      <c r="O177" s="161"/>
      <c r="P177" s="156"/>
      <c r="Q177" s="156"/>
      <c r="R177" s="156"/>
      <c r="S177" s="216"/>
    </row>
    <row r="178" spans="2:19" ht="16.5" thickTop="1" x14ac:dyDescent="0.25">
      <c r="B178" s="261"/>
      <c r="C178" s="253"/>
      <c r="D178" s="146"/>
      <c r="E178" s="146"/>
      <c r="F178" s="253"/>
      <c r="G178" s="261"/>
      <c r="H178" s="253"/>
      <c r="I178" s="251"/>
      <c r="J178" s="264"/>
      <c r="K178" s="252"/>
      <c r="L178" s="252"/>
      <c r="M178" s="290"/>
      <c r="N178" s="290"/>
      <c r="O178" s="249"/>
      <c r="P178" s="253"/>
      <c r="Q178" s="253"/>
      <c r="R178" s="253"/>
      <c r="S178" s="13"/>
    </row>
    <row r="179" spans="2:19" ht="15.75" x14ac:dyDescent="0.25">
      <c r="B179" s="261"/>
      <c r="C179" s="253"/>
      <c r="D179" s="146"/>
      <c r="E179" s="358" t="s">
        <v>30</v>
      </c>
      <c r="F179" s="359"/>
      <c r="G179" s="261"/>
      <c r="H179" s="253"/>
      <c r="I179" s="163">
        <v>0</v>
      </c>
      <c r="J179" s="264"/>
      <c r="K179" s="252">
        <f>I179*K165</f>
        <v>0</v>
      </c>
      <c r="L179" s="252" t="str">
        <f>IFERROR(K179/$D$7,"")</f>
        <v/>
      </c>
      <c r="M179" s="284"/>
      <c r="N179" s="284"/>
      <c r="O179" s="249"/>
      <c r="P179" s="253"/>
      <c r="Q179" s="253"/>
      <c r="R179" s="253"/>
      <c r="S179" s="13"/>
    </row>
    <row r="180" spans="2:19" ht="22.5" customHeight="1" thickBot="1" x14ac:dyDescent="0.3">
      <c r="B180" s="26"/>
      <c r="C180" s="25"/>
      <c r="D180" s="143"/>
      <c r="E180" s="360" t="s">
        <v>147</v>
      </c>
      <c r="F180" s="361"/>
      <c r="G180" s="26"/>
      <c r="H180" s="25"/>
      <c r="I180" s="25"/>
      <c r="J180" s="27"/>
      <c r="K180" s="217">
        <f>SUM(K179,K177)</f>
        <v>0</v>
      </c>
      <c r="L180" s="217" t="str">
        <f>IFERROR(K180/$D$7,"")</f>
        <v/>
      </c>
      <c r="M180" s="292"/>
      <c r="N180" s="292"/>
      <c r="O180" s="126"/>
      <c r="P180" s="25"/>
      <c r="Q180" s="25"/>
      <c r="R180" s="25"/>
      <c r="S180" s="125"/>
    </row>
    <row r="181" spans="2:19" ht="22.5" customHeight="1" thickTop="1" x14ac:dyDescent="0.25">
      <c r="B181" s="261"/>
      <c r="C181" s="253"/>
      <c r="D181" s="146"/>
      <c r="E181" s="146"/>
      <c r="F181" s="253"/>
      <c r="G181" s="261"/>
      <c r="H181" s="253"/>
      <c r="I181" s="251"/>
      <c r="J181" s="264"/>
      <c r="K181" s="252"/>
      <c r="L181" s="252"/>
      <c r="M181" s="290"/>
      <c r="N181" s="290"/>
      <c r="O181" s="249"/>
      <c r="P181" s="253"/>
      <c r="Q181" s="253"/>
      <c r="R181" s="253"/>
      <c r="S181" s="13"/>
    </row>
    <row r="182" spans="2:19" ht="22.5" customHeight="1" x14ac:dyDescent="0.25">
      <c r="B182" s="261"/>
      <c r="C182" s="253"/>
      <c r="D182" s="146"/>
      <c r="E182" s="338" t="s">
        <v>31</v>
      </c>
      <c r="F182" s="339"/>
      <c r="G182" s="261"/>
      <c r="H182" s="253"/>
      <c r="I182" s="265">
        <v>0.17</v>
      </c>
      <c r="J182" s="264"/>
      <c r="K182" s="252">
        <f>K180*I182</f>
        <v>0</v>
      </c>
      <c r="L182" s="252" t="str">
        <f>IFERROR(K182/$D$7,"")</f>
        <v/>
      </c>
      <c r="M182" s="290"/>
      <c r="N182" s="290"/>
      <c r="O182" s="249"/>
      <c r="P182" s="253"/>
      <c r="Q182" s="253"/>
      <c r="R182" s="253"/>
      <c r="S182" s="13"/>
    </row>
    <row r="183" spans="2:19" ht="22.5" customHeight="1" thickBot="1" x14ac:dyDescent="0.25">
      <c r="B183" s="214"/>
      <c r="C183" s="156"/>
      <c r="D183" s="157"/>
      <c r="E183" s="346" t="s">
        <v>148</v>
      </c>
      <c r="F183" s="347"/>
      <c r="G183" s="158"/>
      <c r="H183" s="159"/>
      <c r="I183" s="159"/>
      <c r="J183" s="160"/>
      <c r="K183" s="267">
        <f>K182+K180</f>
        <v>0</v>
      </c>
      <c r="L183" s="267" t="str">
        <f>IFERROR(K183/$D$7,"")</f>
        <v/>
      </c>
      <c r="M183" s="291"/>
      <c r="N183" s="291"/>
      <c r="O183" s="161"/>
      <c r="P183" s="156"/>
      <c r="Q183" s="156"/>
      <c r="R183" s="156"/>
      <c r="S183" s="216"/>
    </row>
    <row r="184" spans="2:19" ht="15.75" customHeight="1" thickTop="1" x14ac:dyDescent="0.25">
      <c r="B184" s="303"/>
      <c r="C184" s="303"/>
      <c r="D184" s="304"/>
      <c r="E184" s="304"/>
      <c r="F184" s="303"/>
      <c r="G184" s="303"/>
      <c r="H184" s="303"/>
      <c r="I184" s="305"/>
      <c r="J184" s="305"/>
      <c r="K184" s="306"/>
      <c r="L184" s="306"/>
      <c r="M184" s="307"/>
      <c r="N184" s="307"/>
      <c r="O184" s="308"/>
      <c r="P184" s="303"/>
      <c r="Q184" s="303"/>
      <c r="R184" s="303"/>
      <c r="S184" s="303"/>
    </row>
    <row r="185" spans="2:19" ht="15.75" customHeight="1" x14ac:dyDescent="0.25">
      <c r="B185" s="253"/>
      <c r="C185" s="253"/>
      <c r="D185" s="146"/>
      <c r="E185" s="146"/>
      <c r="F185" s="253"/>
      <c r="G185" s="253"/>
      <c r="H185" s="253"/>
      <c r="I185" s="251"/>
      <c r="J185" s="251"/>
      <c r="K185" s="252"/>
      <c r="L185" s="252"/>
      <c r="M185" s="290"/>
      <c r="N185" s="290"/>
      <c r="O185" s="249"/>
      <c r="P185" s="253"/>
      <c r="Q185" s="253"/>
      <c r="R185" s="253"/>
      <c r="S185" s="253"/>
    </row>
    <row r="186" spans="2:19" ht="15.75" customHeight="1" x14ac:dyDescent="0.25">
      <c r="B186" s="253"/>
      <c r="C186" s="253"/>
      <c r="D186" s="146"/>
      <c r="E186" s="146"/>
      <c r="F186" s="253"/>
      <c r="G186" s="253"/>
      <c r="H186" s="253"/>
      <c r="I186" s="251"/>
      <c r="J186" s="251"/>
      <c r="K186" s="252"/>
      <c r="L186" s="252"/>
      <c r="M186" s="290"/>
      <c r="N186" s="290"/>
      <c r="O186" s="249"/>
      <c r="P186" s="253"/>
      <c r="Q186" s="253"/>
      <c r="R186" s="253"/>
      <c r="S186" s="253"/>
    </row>
    <row r="187" spans="2:19" ht="15.75" customHeight="1" thickBot="1" x14ac:dyDescent="0.3">
      <c r="B187" s="253"/>
      <c r="C187" s="253"/>
      <c r="D187" s="146"/>
      <c r="E187" s="146"/>
      <c r="F187" s="253"/>
      <c r="G187" s="253"/>
      <c r="H187" s="253"/>
      <c r="I187" s="251"/>
      <c r="J187" s="251"/>
      <c r="K187" s="252"/>
      <c r="L187" s="252"/>
      <c r="M187" s="290"/>
      <c r="N187" s="290"/>
      <c r="O187" s="249"/>
      <c r="P187" s="253"/>
      <c r="Q187" s="253"/>
      <c r="R187" s="253"/>
      <c r="S187" s="253"/>
    </row>
    <row r="188" spans="2:19" ht="45" customHeight="1" thickBot="1" x14ac:dyDescent="0.3">
      <c r="B188" s="355" t="s">
        <v>490</v>
      </c>
      <c r="C188" s="356"/>
      <c r="D188" s="357"/>
      <c r="E188" s="256"/>
      <c r="F188" s="256"/>
      <c r="G188" s="256"/>
      <c r="H188" s="256"/>
      <c r="I188" s="259"/>
      <c r="J188" s="259"/>
      <c r="K188" s="255"/>
      <c r="L188" s="255"/>
      <c r="M188" s="309"/>
      <c r="N188" s="309"/>
      <c r="O188" s="310"/>
      <c r="P188" s="256"/>
      <c r="Q188" s="256"/>
      <c r="R188" s="256"/>
      <c r="S188" s="256"/>
    </row>
    <row r="189" spans="2:19" ht="39" thickBot="1" x14ac:dyDescent="0.25">
      <c r="B189" s="164"/>
      <c r="C189" s="148"/>
      <c r="D189" s="148" t="s">
        <v>60</v>
      </c>
      <c r="E189" s="323"/>
      <c r="F189" s="148" t="s">
        <v>61</v>
      </c>
      <c r="G189" s="148" t="s">
        <v>232</v>
      </c>
      <c r="H189" s="148" t="s">
        <v>3</v>
      </c>
      <c r="I189" s="148" t="s">
        <v>231</v>
      </c>
      <c r="J189" s="148" t="s">
        <v>230</v>
      </c>
      <c r="K189" s="148" t="s">
        <v>233</v>
      </c>
      <c r="L189" s="148" t="s">
        <v>64</v>
      </c>
      <c r="M189" s="376" t="s">
        <v>65</v>
      </c>
      <c r="N189" s="376"/>
      <c r="O189" s="243" t="s">
        <v>66</v>
      </c>
      <c r="P189" s="244" t="s">
        <v>67</v>
      </c>
      <c r="Q189" s="244" t="s">
        <v>67</v>
      </c>
      <c r="R189" s="245" t="s">
        <v>68</v>
      </c>
      <c r="S189" s="246" t="s">
        <v>68</v>
      </c>
    </row>
    <row r="190" spans="2:19" ht="17.100000000000001" customHeight="1" x14ac:dyDescent="0.25">
      <c r="B190" s="352" t="s">
        <v>490</v>
      </c>
      <c r="C190" s="318"/>
      <c r="D190" s="146" t="str">
        <f>IFERROR(VLOOKUP($B$3,'מק"ט'!$B$2:$C$27,2,FALSE)&amp;VLOOKUP(H190,'מק"ט'!D:E,2,FALSE)&amp;VLOOKUP(E190,'מק"ט'!H:I,2,FALSE),"")</f>
        <v/>
      </c>
      <c r="E190" s="348" t="s">
        <v>115</v>
      </c>
      <c r="F190" s="349"/>
      <c r="G190" s="154"/>
      <c r="H190" s="150"/>
      <c r="I190" s="209"/>
      <c r="J190" s="212"/>
      <c r="K190" s="252">
        <f t="shared" ref="K190:K196" si="45">IF(G190="-",I190*J190,G190*I190*J190)</f>
        <v>0</v>
      </c>
      <c r="L190" s="252" t="str">
        <f>IFERROR(K190/$D$7,"")</f>
        <v/>
      </c>
      <c r="M190" s="335"/>
      <c r="N190" s="335"/>
      <c r="O190" s="249" t="str">
        <f>IF(OR(Q190,P190),IF(AND(VLOOKUP(E190,Таблица3345[[#All],[הוצאה]:[פירוט הוצאות]],3,FALSE)="כן",K190&gt;0),הגדרות!$B$18,הגדרות!$B$19),הגדרות!$B$21)</f>
        <v/>
      </c>
      <c r="P190" s="253" t="b">
        <f>AND(OR(ISBLANK(G190),G190=0),ISBLANK(H190),OR(ISBLANK(I190),I190=0),OR(ISBLANK(J190),J190=0))</f>
        <v>1</v>
      </c>
      <c r="Q190" s="253" t="b">
        <f>AND(G190&gt;0,H190&gt;0,I190&gt;0,J190&gt;0)</f>
        <v>0</v>
      </c>
      <c r="R190" s="253" t="str">
        <f>IF(O190=הגדרות!$B$21,הגדרות!$B$25,IF(AND(OR(תקציב!O190=הגדרות!$B$17,תקציב!O190=הגדרות!$B$18,תקציב!O190=הגדרות!$B$22),ISBLANK(תקציב!M190)),הגדרות!$B$25,הגדרות!$B$24))</f>
        <v>כן</v>
      </c>
      <c r="S190" s="254">
        <f>IF(R190=הגדרות!$B$24,1,-1)</f>
        <v>1</v>
      </c>
    </row>
    <row r="191" spans="2:19" ht="17.100000000000001" customHeight="1" x14ac:dyDescent="0.25">
      <c r="B191" s="353"/>
      <c r="C191" s="318"/>
      <c r="D191" s="146" t="str">
        <f>IFERROR(VLOOKUP($B$3,'מק"ט'!$B$2:$C$27,2,FALSE)&amp;VLOOKUP(H191,'מק"ט'!D:E,2,FALSE)&amp;VLOOKUP(E191,'מק"ט'!H:I,2,FALSE),"")</f>
        <v/>
      </c>
      <c r="E191" s="348" t="s">
        <v>116</v>
      </c>
      <c r="F191" s="349"/>
      <c r="G191" s="155" t="s">
        <v>78</v>
      </c>
      <c r="H191" s="150"/>
      <c r="I191" s="209"/>
      <c r="J191" s="212"/>
      <c r="K191" s="252">
        <f t="shared" si="45"/>
        <v>0</v>
      </c>
      <c r="L191" s="252" t="str">
        <f>IFERROR(K191/$D$7,"")</f>
        <v/>
      </c>
      <c r="M191" s="335"/>
      <c r="N191" s="335"/>
      <c r="O191" s="249" t="str">
        <f>IF(OR(Q191,P191),IF(AND(VLOOKUP(E191,Таблица3345[[#All],[הוצאה]:[פירוט הוצאות]],3,FALSE)="כן",K191&gt;0),הגדרות!$B$18,הגדרות!$B$19),הגדרות!$B$21)</f>
        <v/>
      </c>
      <c r="P191" s="253" t="b">
        <f>AND(ISBLANK(H191),OR(ISBLANK(I191),I191=0),OR(ISBLANK(J191),J191=0))</f>
        <v>1</v>
      </c>
      <c r="Q191" s="253" t="b">
        <f>AND(H191&gt;0,I191&gt;0,J191&gt;0)</f>
        <v>0</v>
      </c>
      <c r="R191" s="253" t="str">
        <f>IF(O191=הגדרות!$B$21,הגדרות!$B$25,IF(AND(OR(תקציב!O191=הגדרות!$B$17,תקציב!O191=הגדרות!$B$18,תקציב!O191=הגדרות!$B$22),ISBLANK(תקציב!M191)),הגדרות!$B$25,הגדרות!$B$24))</f>
        <v>כן</v>
      </c>
      <c r="S191" s="254">
        <f>IF(R191=הגדרות!$B$24,1,-1)</f>
        <v>1</v>
      </c>
    </row>
    <row r="192" spans="2:19" ht="17.100000000000001" customHeight="1" x14ac:dyDescent="0.25">
      <c r="B192" s="353"/>
      <c r="C192" s="318"/>
      <c r="D192" s="146" t="str">
        <f>IFERROR(VLOOKUP($B$3,'מק"ט'!$B$2:$C$27,2,FALSE)&amp;VLOOKUP(H192,'מק"ט'!D:E,2,FALSE)&amp;VLOOKUP(E192,'מק"ט'!H:I,2,FALSE),"")</f>
        <v/>
      </c>
      <c r="E192" s="348" t="s">
        <v>130</v>
      </c>
      <c r="F192" s="349"/>
      <c r="G192" s="155" t="s">
        <v>78</v>
      </c>
      <c r="H192" s="150"/>
      <c r="I192" s="209"/>
      <c r="J192" s="212"/>
      <c r="K192" s="252">
        <f t="shared" si="45"/>
        <v>0</v>
      </c>
      <c r="L192" s="252" t="str">
        <f>IFERROR(K192/$D$7,"")</f>
        <v/>
      </c>
      <c r="M192" s="335"/>
      <c r="N192" s="335"/>
      <c r="O192" s="249" t="str">
        <f>IF(OR(Q192,P192),IF(AND(VLOOKUP(E192,Таблица3345[[#All],[הוצאה]:[פירוט הוצאות]],3,FALSE)="כן",K192&gt;0),הגדרות!$B$18,הגדרות!$B$19),הגדרות!$B$21)</f>
        <v/>
      </c>
      <c r="P192" s="253" t="b">
        <f t="shared" ref="P192" si="46">AND(ISBLANK(H192),OR(ISBLANK(I192),I192=0),OR(ISBLANK(J192),J192=0))</f>
        <v>1</v>
      </c>
      <c r="Q192" s="253" t="b">
        <f t="shared" ref="Q192" si="47">AND(H192&gt;0,I192&gt;0,J192&gt;0)</f>
        <v>0</v>
      </c>
      <c r="R192" s="253" t="str">
        <f>IF(O192=הגדרות!$B$21,הגדרות!$B$25,IF(AND(OR(תקציב!O192=הגדרות!$B$17,תקציב!O192=הגדרות!$B$18,תקציב!O192=הגדרות!$B$22),ISBLANK(תקציב!M192)),הגדרות!$B$25,הגדרות!$B$24))</f>
        <v>כן</v>
      </c>
      <c r="S192" s="254">
        <f>IF(R192=הגדרות!$B$24,1,-1)</f>
        <v>1</v>
      </c>
    </row>
    <row r="193" spans="2:19" ht="17.100000000000001" customHeight="1" x14ac:dyDescent="0.25">
      <c r="B193" s="353"/>
      <c r="C193" s="318"/>
      <c r="D193" s="146" t="str">
        <f>IFERROR(VLOOKUP($B$3,'מק"ט'!$B$2:$C$27,2,FALSE)&amp;VLOOKUP(H193,'מק"ט'!D:E,2,FALSE)&amp;VLOOKUP(E193,'מק"ט'!H:I,2,FALSE),"")</f>
        <v/>
      </c>
      <c r="E193" s="348" t="s">
        <v>128</v>
      </c>
      <c r="F193" s="349"/>
      <c r="G193" s="155" t="s">
        <v>78</v>
      </c>
      <c r="H193" s="150"/>
      <c r="I193" s="209"/>
      <c r="J193" s="212"/>
      <c r="K193" s="252">
        <f t="shared" si="45"/>
        <v>0</v>
      </c>
      <c r="L193" s="252" t="str">
        <f>IFERROR(K193/$D$7,"")</f>
        <v/>
      </c>
      <c r="M193" s="335"/>
      <c r="N193" s="335"/>
      <c r="O193" s="249" t="str">
        <f>IF(OR(Q193,P193),IF(AND(VLOOKUP(E193,Таблица3345[[#All],[הוצאה]:[פירוט הוצאות]],3,FALSE)="כן",K193&gt;0),הגדרות!$B$18,הגדרות!$B$19),הגדרות!$B$21)</f>
        <v/>
      </c>
      <c r="P193" s="253" t="b">
        <f>AND(ISBLANK(H193),OR(ISBLANK(I193),I193=0),OR(ISBLANK(J193),J193=0))</f>
        <v>1</v>
      </c>
      <c r="Q193" s="253" t="b">
        <f>AND(H193&gt;0,I193&gt;0,J193&gt;0)</f>
        <v>0</v>
      </c>
      <c r="R193" s="253" t="str">
        <f>IF(O193=הגדרות!$B$21,הגדרות!$B$25,IF(AND(OR(תקציב!O193=הגדרות!$B$17,תקציב!O193=הגדרות!$B$18,תקציב!O193=הגדרות!$B$22),ISBLANK(תקציב!M193)),הגדרות!$B$25,הגדרות!$B$24))</f>
        <v>כן</v>
      </c>
      <c r="S193" s="254">
        <f>IF(R193=הגדרות!$B$24,1,-1)</f>
        <v>1</v>
      </c>
    </row>
    <row r="194" spans="2:19" ht="17.100000000000001" customHeight="1" x14ac:dyDescent="0.25">
      <c r="B194" s="353"/>
      <c r="C194" s="318"/>
      <c r="D194" s="146" t="str">
        <f>IFERROR(VLOOKUP($B$3,'מק"ט'!$B$2:$C$27,2,FALSE)&amp;VLOOKUP(H194,'מק"ט'!D:E,2,FALSE)&amp;VLOOKUP(E194,'מק"ט'!H:I,2,FALSE),"")</f>
        <v/>
      </c>
      <c r="E194" s="348" t="s">
        <v>500</v>
      </c>
      <c r="F194" s="349"/>
      <c r="G194" s="154"/>
      <c r="H194" s="150"/>
      <c r="I194" s="209"/>
      <c r="J194" s="212"/>
      <c r="K194" s="252">
        <f t="shared" si="45"/>
        <v>0</v>
      </c>
      <c r="L194" s="252" t="str">
        <f t="shared" ref="L194:L196" si="48">IFERROR(K194/$D$7,"")</f>
        <v/>
      </c>
      <c r="M194" s="335"/>
      <c r="N194" s="335"/>
      <c r="O194" s="249" t="str">
        <f>IF(OR(Q194,P194),IF(AND(VLOOKUP(E194,Таблица3345[[#All],[הוצאה]:[פירוט הוצאות]],3,FALSE)="כן",K194&gt;0),הגדרות!$B$18,הגדרות!$B$19),הגדרות!$B$21)</f>
        <v/>
      </c>
      <c r="P194" s="253" t="b">
        <f>AND(OR(ISBLANK(G194),G194=0),ISBLANK(H194),OR(ISBLANK(I194),I194=0),OR(ISBLANK(J194),J194=0))</f>
        <v>1</v>
      </c>
      <c r="Q194" s="253" t="b">
        <f>AND(G194&gt;0,H194&gt;0,I194&gt;0,J194&gt;0)</f>
        <v>0</v>
      </c>
      <c r="R194" s="253" t="str">
        <f>IF(O194=הגדרות!$B$21,הגדרות!$B$25,IF(AND(OR(תקציב!O194=הגדרות!$B$17,תקציב!O194=הגדרות!$B$18,תקציב!O194=הגדרות!$B$22),ISBLANK(תקציב!M194)),הגדרות!$B$25,הגדרות!$B$24))</f>
        <v>כן</v>
      </c>
      <c r="S194" s="254">
        <f>IF(R194=הגדרות!$B$24,1,-1)</f>
        <v>1</v>
      </c>
    </row>
    <row r="195" spans="2:19" ht="17.100000000000001" customHeight="1" x14ac:dyDescent="0.25">
      <c r="B195" s="353"/>
      <c r="C195" s="318"/>
      <c r="D195" s="146" t="str">
        <f>IFERROR(VLOOKUP($B$3,'מק"ט'!$B$2:$C$27,2,FALSE)&amp;VLOOKUP(H195,'מק"ט'!D:E,2,FALSE)&amp;VLOOKUP(E195,'מק"ט'!H:I,2,FALSE),"")</f>
        <v/>
      </c>
      <c r="E195" s="348" t="s">
        <v>500</v>
      </c>
      <c r="F195" s="349"/>
      <c r="G195" s="154"/>
      <c r="H195" s="150"/>
      <c r="I195" s="209"/>
      <c r="J195" s="212"/>
      <c r="K195" s="252">
        <f t="shared" si="45"/>
        <v>0</v>
      </c>
      <c r="L195" s="252" t="str">
        <f t="shared" si="48"/>
        <v/>
      </c>
      <c r="M195" s="335"/>
      <c r="N195" s="335"/>
      <c r="O195" s="249" t="str">
        <f>IF(OR(Q195,P195),IF(AND(VLOOKUP(E195,Таблица3345[[#All],[הוצאה]:[פירוט הוצאות]],3,FALSE)="כן",K195&gt;0),הגדרות!$B$18,הגדרות!$B$19),הגדרות!$B$21)</f>
        <v/>
      </c>
      <c r="P195" s="253" t="b">
        <f>AND(OR(ISBLANK(G195),G195=0),ISBLANK(H195),OR(ISBLANK(I195),I195=0),OR(ISBLANK(J195),J195=0))</f>
        <v>1</v>
      </c>
      <c r="Q195" s="253" t="b">
        <f>AND(G195&gt;0,H195&gt;0,I195&gt;0,J195&gt;0)</f>
        <v>0</v>
      </c>
      <c r="R195" s="253" t="str">
        <f>IF(O195=הגדרות!$B$21,הגדרות!$B$25,IF(AND(OR(תקציב!O195=הגדרות!$B$17,תקציב!O195=הגדרות!$B$18,תקציב!O195=הגדרות!$B$22),ISBLANK(תקציב!M195)),הגדרות!$B$25,הגדרות!$B$24))</f>
        <v>כן</v>
      </c>
      <c r="S195" s="254">
        <f>IF(R195=הגדרות!$B$24,1,-1)</f>
        <v>1</v>
      </c>
    </row>
    <row r="196" spans="2:19" ht="17.100000000000001" customHeight="1" thickBot="1" x14ac:dyDescent="0.3">
      <c r="B196" s="354"/>
      <c r="C196" s="318"/>
      <c r="D196" s="146" t="str">
        <f>IFERROR(VLOOKUP($B$3,'מק"ט'!$B$2:$C$27,2,FALSE)&amp;VLOOKUP(H196,'מק"ט'!D:E,2,FALSE)&amp;VLOOKUP(E196,'מק"ט'!H:I,2,FALSE),"")</f>
        <v/>
      </c>
      <c r="E196" s="348" t="s">
        <v>500</v>
      </c>
      <c r="F196" s="349"/>
      <c r="G196" s="154"/>
      <c r="H196" s="150"/>
      <c r="I196" s="209"/>
      <c r="J196" s="212"/>
      <c r="K196" s="252">
        <f t="shared" si="45"/>
        <v>0</v>
      </c>
      <c r="L196" s="252" t="str">
        <f t="shared" si="48"/>
        <v/>
      </c>
      <c r="M196" s="335"/>
      <c r="N196" s="335"/>
      <c r="O196" s="249" t="str">
        <f>IF(OR(Q196,P196),IF(AND(VLOOKUP(E196,Таблица3345[[#All],[הוצאה]:[פירוט הוצאות]],3,FALSE)="כן",K196&gt;0),הגדרות!$B$18,הגדרות!$B$19),הגדרות!$B$21)</f>
        <v/>
      </c>
      <c r="P196" s="253" t="b">
        <f>AND(OR(ISBLANK(G196),G196=0),ISBLANK(H196),OR(ISBLANK(I196),I196=0),OR(ISBLANK(J196),J196=0))</f>
        <v>1</v>
      </c>
      <c r="Q196" s="253" t="b">
        <f>AND(G196&gt;0,H196&gt;0,I196&gt;0,J196&gt;0)</f>
        <v>0</v>
      </c>
      <c r="R196" s="253" t="str">
        <f>IF(O196=הגדרות!$B$21,הגדרות!$B$25,IF(AND(OR(תקציב!O196=הגדרות!$B$17,תקציב!O196=הגדרות!$B$18,תקציב!O196=הגדרות!$B$22),ISBLANK(תקציב!M196)),הגדרות!$B$25,הגדרות!$B$24))</f>
        <v>כן</v>
      </c>
      <c r="S196" s="254">
        <f>IF(R196=הגדרות!$B$24,1,-1)</f>
        <v>1</v>
      </c>
    </row>
    <row r="197" spans="2:19" ht="18.75" thickBot="1" x14ac:dyDescent="0.25">
      <c r="B197" s="164"/>
      <c r="C197" s="148"/>
      <c r="D197" s="148"/>
      <c r="E197" s="336" t="s">
        <v>484</v>
      </c>
      <c r="F197" s="337"/>
      <c r="G197" s="164"/>
      <c r="H197" s="148"/>
      <c r="I197" s="148"/>
      <c r="J197" s="257"/>
      <c r="K197" s="266">
        <f>SUM(K190:K196)</f>
        <v>0</v>
      </c>
      <c r="L197" s="266">
        <f>SUM(L190:L196)</f>
        <v>0</v>
      </c>
      <c r="M197" s="289"/>
      <c r="N197" s="289"/>
      <c r="O197" s="243"/>
      <c r="P197" s="148"/>
      <c r="Q197" s="148"/>
      <c r="R197" s="148"/>
      <c r="S197" s="258"/>
    </row>
    <row r="198" spans="2:19" ht="15.75" x14ac:dyDescent="0.25">
      <c r="B198" s="261"/>
      <c r="C198" s="253"/>
      <c r="D198" s="146"/>
      <c r="E198" s="146"/>
      <c r="F198" s="253"/>
      <c r="G198" s="261"/>
      <c r="H198" s="253"/>
      <c r="I198" s="251"/>
      <c r="J198" s="264"/>
      <c r="K198" s="252"/>
      <c r="L198" s="252"/>
      <c r="M198" s="290"/>
      <c r="N198" s="290"/>
      <c r="O198" s="249"/>
      <c r="P198" s="253"/>
      <c r="Q198" s="253"/>
      <c r="R198" s="253"/>
      <c r="S198" s="13"/>
    </row>
    <row r="199" spans="2:19" ht="15.75" x14ac:dyDescent="0.25">
      <c r="B199" s="261"/>
      <c r="C199" s="253"/>
      <c r="D199" s="146"/>
      <c r="E199" s="338" t="s">
        <v>31</v>
      </c>
      <c r="F199" s="339"/>
      <c r="G199" s="261"/>
      <c r="H199" s="253"/>
      <c r="I199" s="265">
        <v>0.17</v>
      </c>
      <c r="J199" s="264"/>
      <c r="K199" s="252">
        <f>I199*SUM(K197)</f>
        <v>0</v>
      </c>
      <c r="L199" s="252" t="str">
        <f>IFERROR(K199/$D$7,"")</f>
        <v/>
      </c>
      <c r="M199" s="290"/>
      <c r="N199" s="290"/>
      <c r="O199" s="249"/>
      <c r="P199" s="253"/>
      <c r="Q199" s="253"/>
      <c r="R199" s="253"/>
      <c r="S199" s="13"/>
    </row>
    <row r="200" spans="2:19" s="2" customFormat="1" ht="24" customHeight="1" thickBot="1" x14ac:dyDescent="0.25">
      <c r="B200" s="214"/>
      <c r="C200" s="156"/>
      <c r="D200" s="157"/>
      <c r="E200" s="340" t="s">
        <v>491</v>
      </c>
      <c r="F200" s="341"/>
      <c r="G200" s="158"/>
      <c r="H200" s="159"/>
      <c r="I200" s="159"/>
      <c r="J200" s="160"/>
      <c r="K200" s="267">
        <f>SUM(K199,K197)</f>
        <v>0</v>
      </c>
      <c r="L200" s="267" t="str">
        <f>IFERROR(K200/$D$7,"")</f>
        <v/>
      </c>
      <c r="M200" s="291"/>
      <c r="N200" s="291"/>
      <c r="O200" s="161"/>
      <c r="P200" s="156"/>
      <c r="Q200" s="156"/>
      <c r="R200" s="156"/>
      <c r="S200" s="216"/>
    </row>
    <row r="201" spans="2:19" ht="15.75" thickTop="1" x14ac:dyDescent="0.25">
      <c r="M201" s="293"/>
      <c r="N201" s="293"/>
    </row>
  </sheetData>
  <sheetProtection algorithmName="SHA-512" hashValue="l5JFb1Ut6uLrcOMY7M0EXPr/B1inLvQo8f1N9FvYN+NL/WXeRgYidBxqQxsn0m82KTy9UFcHEuVcBpnfZREtmw==" saltValue="twHPfJ9i6HacenemES8lOw==" spinCount="100000" sheet="1" formatCells="0"/>
  <protectedRanges>
    <protectedRange sqref="E56 E59 E190:E191 E123:E140" name="טווח1"/>
    <protectedRange sqref="E165" name="טווח1_1"/>
  </protectedRanges>
  <dataConsolidate/>
  <mergeCells count="352">
    <mergeCell ref="G6:J6"/>
    <mergeCell ref="I17:J17"/>
    <mergeCell ref="I18:J18"/>
    <mergeCell ref="M164:N164"/>
    <mergeCell ref="M166:N166"/>
    <mergeCell ref="M160:N160"/>
    <mergeCell ref="M161:N161"/>
    <mergeCell ref="M162:N162"/>
    <mergeCell ref="M190:N190"/>
    <mergeCell ref="M150:N150"/>
    <mergeCell ref="M151:N151"/>
    <mergeCell ref="M152:N152"/>
    <mergeCell ref="M153:N153"/>
    <mergeCell ref="M154:N154"/>
    <mergeCell ref="M145:N145"/>
    <mergeCell ref="M146:N146"/>
    <mergeCell ref="M147:N147"/>
    <mergeCell ref="M148:N148"/>
    <mergeCell ref="M149:N149"/>
    <mergeCell ref="M139:N139"/>
    <mergeCell ref="M140:N140"/>
    <mergeCell ref="M142:N142"/>
    <mergeCell ref="M143:N143"/>
    <mergeCell ref="M144:N144"/>
    <mergeCell ref="M155:N155"/>
    <mergeCell ref="M156:N156"/>
    <mergeCell ref="M157:N157"/>
    <mergeCell ref="M158:N158"/>
    <mergeCell ref="M159:N159"/>
    <mergeCell ref="M174:N174"/>
    <mergeCell ref="M189:N189"/>
    <mergeCell ref="M169:N169"/>
    <mergeCell ref="M170:N170"/>
    <mergeCell ref="M171:N171"/>
    <mergeCell ref="M172:N172"/>
    <mergeCell ref="M173:N173"/>
    <mergeCell ref="M134:N134"/>
    <mergeCell ref="M135:N135"/>
    <mergeCell ref="M136:N136"/>
    <mergeCell ref="M137:N137"/>
    <mergeCell ref="M138:N138"/>
    <mergeCell ref="M129:N129"/>
    <mergeCell ref="M130:N130"/>
    <mergeCell ref="M131:N131"/>
    <mergeCell ref="M132:N132"/>
    <mergeCell ref="M133:N133"/>
    <mergeCell ref="M124:N124"/>
    <mergeCell ref="M125:N125"/>
    <mergeCell ref="M126:N126"/>
    <mergeCell ref="M127:N127"/>
    <mergeCell ref="M128:N128"/>
    <mergeCell ref="M119:N119"/>
    <mergeCell ref="M120:N120"/>
    <mergeCell ref="M121:N121"/>
    <mergeCell ref="M123:N123"/>
    <mergeCell ref="M104:N104"/>
    <mergeCell ref="M105:N105"/>
    <mergeCell ref="M106:N106"/>
    <mergeCell ref="M118:N118"/>
    <mergeCell ref="M99:N99"/>
    <mergeCell ref="M100:N100"/>
    <mergeCell ref="M101:N101"/>
    <mergeCell ref="M102:N102"/>
    <mergeCell ref="M103:N103"/>
    <mergeCell ref="M113:N113"/>
    <mergeCell ref="M114:N114"/>
    <mergeCell ref="M115:N115"/>
    <mergeCell ref="M116:N116"/>
    <mergeCell ref="M117:N117"/>
    <mergeCell ref="M107:N107"/>
    <mergeCell ref="M108:N108"/>
    <mergeCell ref="M109:N109"/>
    <mergeCell ref="M110:N110"/>
    <mergeCell ref="M111:N111"/>
    <mergeCell ref="M93:N93"/>
    <mergeCell ref="M95:N95"/>
    <mergeCell ref="M96:N96"/>
    <mergeCell ref="M97:N97"/>
    <mergeCell ref="M98:N98"/>
    <mergeCell ref="M88:N88"/>
    <mergeCell ref="M89:N89"/>
    <mergeCell ref="M90:N90"/>
    <mergeCell ref="M91:N91"/>
    <mergeCell ref="M92:N92"/>
    <mergeCell ref="M83:N83"/>
    <mergeCell ref="M84:N84"/>
    <mergeCell ref="M85:N85"/>
    <mergeCell ref="M86:N86"/>
    <mergeCell ref="M87:N87"/>
    <mergeCell ref="M78:N78"/>
    <mergeCell ref="M79:N79"/>
    <mergeCell ref="M80:N80"/>
    <mergeCell ref="M81:N81"/>
    <mergeCell ref="M82:N82"/>
    <mergeCell ref="M73:N73"/>
    <mergeCell ref="M74:N74"/>
    <mergeCell ref="M75:N75"/>
    <mergeCell ref="M76:N76"/>
    <mergeCell ref="M77:N77"/>
    <mergeCell ref="M68:N68"/>
    <mergeCell ref="M69:N69"/>
    <mergeCell ref="M70:N70"/>
    <mergeCell ref="M71:N71"/>
    <mergeCell ref="M72:N72"/>
    <mergeCell ref="M63:N63"/>
    <mergeCell ref="M64:N64"/>
    <mergeCell ref="M65:N65"/>
    <mergeCell ref="M66:N66"/>
    <mergeCell ref="M54:N54"/>
    <mergeCell ref="M55:N55"/>
    <mergeCell ref="M58:N58"/>
    <mergeCell ref="M59:N59"/>
    <mergeCell ref="M60:N60"/>
    <mergeCell ref="M61:N61"/>
    <mergeCell ref="M62:N62"/>
    <mergeCell ref="M52:N52"/>
    <mergeCell ref="M56:N56"/>
    <mergeCell ref="M57:N57"/>
    <mergeCell ref="M47:N47"/>
    <mergeCell ref="M48:N48"/>
    <mergeCell ref="M49:N49"/>
    <mergeCell ref="M50:N50"/>
    <mergeCell ref="M51:N51"/>
    <mergeCell ref="M43:N43"/>
    <mergeCell ref="M44:N44"/>
    <mergeCell ref="M45:N45"/>
    <mergeCell ref="M46:N46"/>
    <mergeCell ref="M32:N32"/>
    <mergeCell ref="M33:N33"/>
    <mergeCell ref="M34:N34"/>
    <mergeCell ref="M35:N35"/>
    <mergeCell ref="M27:N27"/>
    <mergeCell ref="M28:N28"/>
    <mergeCell ref="M29:N29"/>
    <mergeCell ref="M30:N30"/>
    <mergeCell ref="M24:N24"/>
    <mergeCell ref="M25:N25"/>
    <mergeCell ref="M26:N26"/>
    <mergeCell ref="M20:N20"/>
    <mergeCell ref="G2:L2"/>
    <mergeCell ref="G3:L3"/>
    <mergeCell ref="D7:E7"/>
    <mergeCell ref="B169:B174"/>
    <mergeCell ref="B142:B162"/>
    <mergeCell ref="B39:B52"/>
    <mergeCell ref="B54:B66"/>
    <mergeCell ref="B68:B93"/>
    <mergeCell ref="B95:B111"/>
    <mergeCell ref="B113:B121"/>
    <mergeCell ref="B123:B140"/>
    <mergeCell ref="B21:B37"/>
    <mergeCell ref="B19:D19"/>
    <mergeCell ref="M39:N39"/>
    <mergeCell ref="M40:N40"/>
    <mergeCell ref="M41:N41"/>
    <mergeCell ref="M42:N42"/>
    <mergeCell ref="M36:N36"/>
    <mergeCell ref="M37:N37"/>
    <mergeCell ref="M21:N21"/>
    <mergeCell ref="M22:N22"/>
    <mergeCell ref="M23:N23"/>
    <mergeCell ref="M31:N31"/>
    <mergeCell ref="B7:C7"/>
    <mergeCell ref="B8:C8"/>
    <mergeCell ref="B9:C9"/>
    <mergeCell ref="B10:C10"/>
    <mergeCell ref="B11:C11"/>
    <mergeCell ref="B12:C12"/>
    <mergeCell ref="B14:C14"/>
    <mergeCell ref="E20:F20"/>
    <mergeCell ref="B13:C13"/>
    <mergeCell ref="B6:E6"/>
    <mergeCell ref="E39:F39"/>
    <mergeCell ref="E40:F40"/>
    <mergeCell ref="E41:F41"/>
    <mergeCell ref="E42:F42"/>
    <mergeCell ref="E43:F43"/>
    <mergeCell ref="E30:F30"/>
    <mergeCell ref="E31:F31"/>
    <mergeCell ref="E32:F32"/>
    <mergeCell ref="E33:F33"/>
    <mergeCell ref="E34:F34"/>
    <mergeCell ref="E35:F35"/>
    <mergeCell ref="E36:F36"/>
    <mergeCell ref="E37:F37"/>
    <mergeCell ref="E22:F22"/>
    <mergeCell ref="E23:F23"/>
    <mergeCell ref="E24:F24"/>
    <mergeCell ref="E25:F25"/>
    <mergeCell ref="E26:F26"/>
    <mergeCell ref="E27:F27"/>
    <mergeCell ref="E28:F28"/>
    <mergeCell ref="B15:C15"/>
    <mergeCell ref="E29:F29"/>
    <mergeCell ref="E21:F21"/>
    <mergeCell ref="E54:F54"/>
    <mergeCell ref="E55:F55"/>
    <mergeCell ref="E56:F56"/>
    <mergeCell ref="E57:F57"/>
    <mergeCell ref="E58:F58"/>
    <mergeCell ref="E59:F59"/>
    <mergeCell ref="E60:F60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61:F61"/>
    <mergeCell ref="E62:F62"/>
    <mergeCell ref="E63:F63"/>
    <mergeCell ref="E64:F64"/>
    <mergeCell ref="E65:F65"/>
    <mergeCell ref="E66:F66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105:F105"/>
    <mergeCell ref="E106:F106"/>
    <mergeCell ref="E107:F107"/>
    <mergeCell ref="E89:F89"/>
    <mergeCell ref="E90:F90"/>
    <mergeCell ref="E91:F91"/>
    <mergeCell ref="E92:F92"/>
    <mergeCell ref="E93:F93"/>
    <mergeCell ref="E95:F95"/>
    <mergeCell ref="E96:F96"/>
    <mergeCell ref="E97:F97"/>
    <mergeCell ref="E98:F98"/>
    <mergeCell ref="E118:F118"/>
    <mergeCell ref="E119:F119"/>
    <mergeCell ref="E120:F120"/>
    <mergeCell ref="E121:F121"/>
    <mergeCell ref="E38:F38"/>
    <mergeCell ref="E53:F53"/>
    <mergeCell ref="E67:F67"/>
    <mergeCell ref="E94:F94"/>
    <mergeCell ref="E112:F112"/>
    <mergeCell ref="E108:F108"/>
    <mergeCell ref="E109:F109"/>
    <mergeCell ref="E110:F110"/>
    <mergeCell ref="E111:F111"/>
    <mergeCell ref="E113:F113"/>
    <mergeCell ref="E114:F114"/>
    <mergeCell ref="E115:F115"/>
    <mergeCell ref="E116:F116"/>
    <mergeCell ref="E117:F117"/>
    <mergeCell ref="E99:F99"/>
    <mergeCell ref="E100:F100"/>
    <mergeCell ref="E101:F101"/>
    <mergeCell ref="E102:F102"/>
    <mergeCell ref="E103:F103"/>
    <mergeCell ref="E104:F104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64:F164"/>
    <mergeCell ref="B190:B196"/>
    <mergeCell ref="E194:F194"/>
    <mergeCell ref="E195:F195"/>
    <mergeCell ref="E196:F196"/>
    <mergeCell ref="E158:F158"/>
    <mergeCell ref="E159:F159"/>
    <mergeCell ref="E160:F160"/>
    <mergeCell ref="E161:F161"/>
    <mergeCell ref="E162:F162"/>
    <mergeCell ref="E163:F163"/>
    <mergeCell ref="E165:F165"/>
    <mergeCell ref="E169:F169"/>
    <mergeCell ref="E170:F170"/>
    <mergeCell ref="B188:D188"/>
    <mergeCell ref="E171:F171"/>
    <mergeCell ref="E172:F172"/>
    <mergeCell ref="E173:F173"/>
    <mergeCell ref="E174:F174"/>
    <mergeCell ref="E175:F175"/>
    <mergeCell ref="E177:F177"/>
    <mergeCell ref="E179:F179"/>
    <mergeCell ref="E180:F180"/>
    <mergeCell ref="E182:F182"/>
    <mergeCell ref="M194:N194"/>
    <mergeCell ref="M195:N195"/>
    <mergeCell ref="M196:N196"/>
    <mergeCell ref="E197:F197"/>
    <mergeCell ref="E199:F199"/>
    <mergeCell ref="E200:F200"/>
    <mergeCell ref="E167:F167"/>
    <mergeCell ref="E168:F168"/>
    <mergeCell ref="E166:F166"/>
    <mergeCell ref="M167:N167"/>
    <mergeCell ref="M192:N192"/>
    <mergeCell ref="M193:N193"/>
    <mergeCell ref="E183:F183"/>
    <mergeCell ref="E190:F190"/>
    <mergeCell ref="E191:F191"/>
    <mergeCell ref="E192:F192"/>
    <mergeCell ref="E193:F193"/>
    <mergeCell ref="M191:N191"/>
  </mergeCells>
  <conditionalFormatting sqref="S107:S111 S95:S104">
    <cfRule type="iconSet" priority="319">
      <iconSet iconSet="3Symbols" showValue="0">
        <cfvo type="percent" val="0"/>
        <cfvo type="num" val="0"/>
        <cfvo type="num" val="0" gte="0"/>
      </iconSet>
    </cfRule>
  </conditionalFormatting>
  <conditionalFormatting sqref="S105:S106">
    <cfRule type="iconSet" priority="318">
      <iconSet iconSet="3Symbols" showValue="0">
        <cfvo type="percent" val="0"/>
        <cfvo type="num" val="0"/>
        <cfvo type="num" val="0" gte="0"/>
      </iconSet>
    </cfRule>
  </conditionalFormatting>
  <conditionalFormatting sqref="S169:S174 S176">
    <cfRule type="iconSet" priority="315">
      <iconSet iconSet="3Symbols" showValue="0">
        <cfvo type="percent" val="0"/>
        <cfvo type="num" val="0"/>
        <cfvo type="num" val="0" gte="0"/>
      </iconSet>
    </cfRule>
  </conditionalFormatting>
  <conditionalFormatting sqref="D7:E7 E9:E11 D14:E15 D10:D13">
    <cfRule type="containsBlanks" dxfId="72" priority="250">
      <formula>LEN(TRIM(D7))=0</formula>
    </cfRule>
  </conditionalFormatting>
  <conditionalFormatting sqref="O3">
    <cfRule type="iconSet" priority="247">
      <iconSet iconSet="3Symbols" showValue="0">
        <cfvo type="percent" val="0"/>
        <cfvo type="num" val="0"/>
        <cfvo type="num" val="0" gte="0"/>
      </iconSet>
    </cfRule>
  </conditionalFormatting>
  <conditionalFormatting sqref="G2:L3">
    <cfRule type="containsBlanks" dxfId="71" priority="244">
      <formula>LEN(TRIM(G2))=0</formula>
    </cfRule>
  </conditionalFormatting>
  <conditionalFormatting sqref="S68:S86">
    <cfRule type="iconSet" priority="203">
      <iconSet iconSet="3Symbols" showValue="0">
        <cfvo type="percent" val="0"/>
        <cfvo type="num" val="0"/>
        <cfvo type="num" val="0" gte="0"/>
      </iconSet>
    </cfRule>
  </conditionalFormatting>
  <conditionalFormatting sqref="S87:S93">
    <cfRule type="iconSet" priority="202">
      <iconSet iconSet="3Symbols" showValue="0">
        <cfvo type="percent" val="0"/>
        <cfvo type="num" val="0"/>
        <cfvo type="num" val="0" gte="0"/>
      </iconSet>
    </cfRule>
  </conditionalFormatting>
  <conditionalFormatting sqref="S113:S115">
    <cfRule type="iconSet" priority="201">
      <iconSet iconSet="3Symbols" showValue="0">
        <cfvo type="percent" val="0"/>
        <cfvo type="num" val="0"/>
        <cfvo type="num" val="0" gte="0"/>
      </iconSet>
    </cfRule>
  </conditionalFormatting>
  <conditionalFormatting sqref="S116:S121">
    <cfRule type="iconSet" priority="200">
      <iconSet iconSet="3Symbols" showValue="0">
        <cfvo type="percent" val="0"/>
        <cfvo type="num" val="0"/>
        <cfvo type="num" val="0" gte="0"/>
      </iconSet>
    </cfRule>
  </conditionalFormatting>
  <conditionalFormatting sqref="S63:S66 S54:S55">
    <cfRule type="iconSet" priority="327">
      <iconSet iconSet="3Symbols" showValue="0">
        <cfvo type="percent" val="0"/>
        <cfvo type="num" val="0"/>
        <cfvo type="num" val="0" gte="0"/>
      </iconSet>
    </cfRule>
  </conditionalFormatting>
  <conditionalFormatting sqref="S56 S59">
    <cfRule type="iconSet" priority="113">
      <iconSet iconSet="3Symbols" showValue="0">
        <cfvo type="percent" val="0"/>
        <cfvo type="num" val="0"/>
        <cfvo type="num" val="0" gte="0"/>
      </iconSet>
    </cfRule>
  </conditionalFormatting>
  <conditionalFormatting sqref="S57:S58">
    <cfRule type="iconSet" priority="111">
      <iconSet iconSet="3Symbols" showValue="0">
        <cfvo type="percent" val="0"/>
        <cfvo type="num" val="0"/>
        <cfvo type="num" val="0" gte="0"/>
      </iconSet>
    </cfRule>
  </conditionalFormatting>
  <conditionalFormatting sqref="S21">
    <cfRule type="iconSet" priority="99">
      <iconSet iconSet="3Symbols" showValue="0">
        <cfvo type="percent" val="0"/>
        <cfvo type="num" val="0"/>
        <cfvo type="num" val="0" gte="0"/>
      </iconSet>
    </cfRule>
  </conditionalFormatting>
  <conditionalFormatting sqref="E12">
    <cfRule type="containsBlanks" dxfId="70" priority="94">
      <formula>LEN(TRIM(E12))=0</formula>
    </cfRule>
  </conditionalFormatting>
  <conditionalFormatting sqref="B3">
    <cfRule type="containsBlanks" dxfId="69" priority="93">
      <formula>LEN(TRIM(B3))=0</formula>
    </cfRule>
  </conditionalFormatting>
  <conditionalFormatting sqref="S190">
    <cfRule type="iconSet" priority="85">
      <iconSet iconSet="3Symbols" showValue="0">
        <cfvo type="percent" val="0"/>
        <cfvo type="num" val="0"/>
        <cfvo type="num" val="0" gte="0"/>
      </iconSet>
    </cfRule>
  </conditionalFormatting>
  <conditionalFormatting sqref="S191">
    <cfRule type="iconSet" priority="83">
      <iconSet iconSet="3Symbols" showValue="0">
        <cfvo type="percent" val="0"/>
        <cfvo type="num" val="0"/>
        <cfvo type="num" val="0" gte="0"/>
      </iconSet>
    </cfRule>
  </conditionalFormatting>
  <conditionalFormatting sqref="S60:S62">
    <cfRule type="iconSet" priority="346">
      <iconSet iconSet="3Symbols" showValue="0">
        <cfvo type="percent" val="0"/>
        <cfvo type="num" val="0"/>
        <cfvo type="num" val="0" gte="0"/>
      </iconSet>
    </cfRule>
  </conditionalFormatting>
  <conditionalFormatting sqref="S123:S140">
    <cfRule type="iconSet" priority="358">
      <iconSet iconSet="3Symbols" showValue="0">
        <cfvo type="percent" val="0"/>
        <cfvo type="num" val="0"/>
        <cfvo type="num" val="0" gte="0"/>
      </iconSet>
    </cfRule>
  </conditionalFormatting>
  <conditionalFormatting sqref="S192">
    <cfRule type="iconSet" priority="77">
      <iconSet iconSet="3Symbols" showValue="0">
        <cfvo type="percent" val="0"/>
        <cfvo type="num" val="0"/>
        <cfvo type="num" val="0" gte="0"/>
      </iconSet>
    </cfRule>
  </conditionalFormatting>
  <conditionalFormatting sqref="S193:S196">
    <cfRule type="iconSet" priority="72">
      <iconSet iconSet="3Symbols" showValue="0">
        <cfvo type="percent" val="0"/>
        <cfvo type="num" val="0"/>
        <cfvo type="num" val="0" gte="0"/>
      </iconSet>
    </cfRule>
  </conditionalFormatting>
  <conditionalFormatting sqref="S142:S162">
    <cfRule type="iconSet" priority="388">
      <iconSet iconSet="3Symbols" showValue="0">
        <cfvo type="percent" val="0"/>
        <cfvo type="num" val="0"/>
        <cfvo type="num" val="0" gte="0"/>
      </iconSet>
    </cfRule>
  </conditionalFormatting>
  <conditionalFormatting sqref="C169:C174">
    <cfRule type="iconSet" priority="42">
      <iconSet iconSet="3Symbols" showValue="0">
        <cfvo type="percent" val="0"/>
        <cfvo type="num" val="0"/>
        <cfvo type="num" val="0" gte="0"/>
      </iconSet>
    </cfRule>
  </conditionalFormatting>
  <conditionalFormatting sqref="C190:C196">
    <cfRule type="iconSet" priority="41">
      <iconSet iconSet="3Symbols" showValue="0">
        <cfvo type="percent" val="0"/>
        <cfvo type="num" val="0"/>
        <cfvo type="num" val="0" gte="0"/>
      </iconSet>
    </cfRule>
  </conditionalFormatting>
  <conditionalFormatting sqref="C40">
    <cfRule type="iconSet" priority="38">
      <iconSet iconSet="3Signs" showValue="0">
        <cfvo type="percent" val="0"/>
        <cfvo type="num" val="0"/>
        <cfvo type="num" val="0" gte="0"/>
      </iconSet>
    </cfRule>
  </conditionalFormatting>
  <conditionalFormatting sqref="C39">
    <cfRule type="iconSet" priority="37">
      <iconSet iconSet="3Signs" showValue="0">
        <cfvo type="percent" val="0"/>
        <cfvo type="num" val="0"/>
        <cfvo type="num" val="0" gte="0"/>
      </iconSet>
    </cfRule>
  </conditionalFormatting>
  <conditionalFormatting sqref="C59:C66 C56:C57">
    <cfRule type="iconSet" priority="36">
      <iconSet iconSet="3Signs" showValue="0">
        <cfvo type="percent" val="0"/>
        <cfvo type="num" val="0"/>
        <cfvo type="num" val="0" gte="0"/>
      </iconSet>
    </cfRule>
  </conditionalFormatting>
  <conditionalFormatting sqref="C58">
    <cfRule type="iconSet" priority="35">
      <iconSet iconSet="3Signs" showValue="0">
        <cfvo type="percent" val="0"/>
        <cfvo type="num" val="0"/>
        <cfvo type="num" val="0" gte="0"/>
      </iconSet>
    </cfRule>
  </conditionalFormatting>
  <conditionalFormatting sqref="C55">
    <cfRule type="iconSet" priority="34">
      <iconSet iconSet="3Signs" showValue="0">
        <cfvo type="percent" val="0"/>
        <cfvo type="num" val="0"/>
        <cfvo type="num" val="0" gte="0"/>
      </iconSet>
    </cfRule>
  </conditionalFormatting>
  <conditionalFormatting sqref="C54">
    <cfRule type="iconSet" priority="33">
      <iconSet iconSet="3Signs" showValue="0">
        <cfvo type="percent" val="0"/>
        <cfvo type="num" val="0"/>
        <cfvo type="num" val="0" gte="0"/>
      </iconSet>
    </cfRule>
  </conditionalFormatting>
  <conditionalFormatting sqref="C73:C84 C90:C93 C70:C71 C87:C88">
    <cfRule type="iconSet" priority="32">
      <iconSet iconSet="3Signs" showValue="0">
        <cfvo type="percent" val="0"/>
        <cfvo type="num" val="0"/>
        <cfvo type="num" val="0" gte="0"/>
      </iconSet>
    </cfRule>
  </conditionalFormatting>
  <conditionalFormatting sqref="C72 C89">
    <cfRule type="iconSet" priority="31">
      <iconSet iconSet="3Signs" showValue="0">
        <cfvo type="percent" val="0"/>
        <cfvo type="num" val="0"/>
        <cfvo type="num" val="0" gte="0"/>
      </iconSet>
    </cfRule>
  </conditionalFormatting>
  <conditionalFormatting sqref="C69 C86">
    <cfRule type="iconSet" priority="30">
      <iconSet iconSet="3Signs" showValue="0">
        <cfvo type="percent" val="0"/>
        <cfvo type="num" val="0"/>
        <cfvo type="num" val="0" gte="0"/>
      </iconSet>
    </cfRule>
  </conditionalFormatting>
  <conditionalFormatting sqref="C68 C85">
    <cfRule type="iconSet" priority="29">
      <iconSet iconSet="3Signs" showValue="0">
        <cfvo type="percent" val="0"/>
        <cfvo type="num" val="0"/>
        <cfvo type="num" val="0" gte="0"/>
      </iconSet>
    </cfRule>
  </conditionalFormatting>
  <conditionalFormatting sqref="C99">
    <cfRule type="iconSet" priority="27">
      <iconSet iconSet="3Signs" showValue="0">
        <cfvo type="percent" val="0"/>
        <cfvo type="num" val="0"/>
        <cfvo type="num" val="0" gte="0"/>
      </iconSet>
    </cfRule>
  </conditionalFormatting>
  <conditionalFormatting sqref="C111 C96">
    <cfRule type="iconSet" priority="26">
      <iconSet iconSet="3Signs" showValue="0">
        <cfvo type="percent" val="0"/>
        <cfvo type="num" val="0"/>
        <cfvo type="num" val="0" gte="0"/>
      </iconSet>
    </cfRule>
  </conditionalFormatting>
  <conditionalFormatting sqref="C110 C95">
    <cfRule type="iconSet" priority="25">
      <iconSet iconSet="3Signs" showValue="0">
        <cfvo type="percent" val="0"/>
        <cfvo type="num" val="0"/>
        <cfvo type="num" val="0" gte="0"/>
      </iconSet>
    </cfRule>
  </conditionalFormatting>
  <conditionalFormatting sqref="C118:C121 C115:C116">
    <cfRule type="iconSet" priority="24">
      <iconSet iconSet="3Signs" showValue="0">
        <cfvo type="percent" val="0"/>
        <cfvo type="num" val="0"/>
        <cfvo type="num" val="0" gte="0"/>
      </iconSet>
    </cfRule>
  </conditionalFormatting>
  <conditionalFormatting sqref="C117">
    <cfRule type="iconSet" priority="23">
      <iconSet iconSet="3Signs" showValue="0">
        <cfvo type="percent" val="0"/>
        <cfvo type="num" val="0"/>
        <cfvo type="num" val="0" gte="0"/>
      </iconSet>
    </cfRule>
  </conditionalFormatting>
  <conditionalFormatting sqref="C114">
    <cfRule type="iconSet" priority="22">
      <iconSet iconSet="3Signs" showValue="0">
        <cfvo type="percent" val="0"/>
        <cfvo type="num" val="0"/>
        <cfvo type="num" val="0" gte="0"/>
      </iconSet>
    </cfRule>
  </conditionalFormatting>
  <conditionalFormatting sqref="C113">
    <cfRule type="iconSet" priority="21">
      <iconSet iconSet="3Signs" showValue="0">
        <cfvo type="percent" val="0"/>
        <cfvo type="num" val="0"/>
        <cfvo type="num" val="0" gte="0"/>
      </iconSet>
    </cfRule>
  </conditionalFormatting>
  <conditionalFormatting sqref="C128:C139 C125:C126">
    <cfRule type="iconSet" priority="20">
      <iconSet iconSet="3Signs" showValue="0">
        <cfvo type="percent" val="0"/>
        <cfvo type="num" val="0"/>
        <cfvo type="num" val="0" gte="0"/>
      </iconSet>
    </cfRule>
  </conditionalFormatting>
  <conditionalFormatting sqref="C127">
    <cfRule type="iconSet" priority="19">
      <iconSet iconSet="3Signs" showValue="0">
        <cfvo type="percent" val="0"/>
        <cfvo type="num" val="0"/>
        <cfvo type="num" val="0" gte="0"/>
      </iconSet>
    </cfRule>
  </conditionalFormatting>
  <conditionalFormatting sqref="C124">
    <cfRule type="iconSet" priority="18">
      <iconSet iconSet="3Signs" showValue="0">
        <cfvo type="percent" val="0"/>
        <cfvo type="num" val="0"/>
        <cfvo type="num" val="0" gte="0"/>
      </iconSet>
    </cfRule>
  </conditionalFormatting>
  <conditionalFormatting sqref="C123 C140">
    <cfRule type="iconSet" priority="17">
      <iconSet iconSet="3Signs" showValue="0">
        <cfvo type="percent" val="0"/>
        <cfvo type="num" val="0"/>
        <cfvo type="num" val="0" gte="0"/>
      </iconSet>
    </cfRule>
  </conditionalFormatting>
  <conditionalFormatting sqref="C147:C158 C144:C145 C161:C162">
    <cfRule type="iconSet" priority="16">
      <iconSet iconSet="3Signs" showValue="0">
        <cfvo type="percent" val="0"/>
        <cfvo type="num" val="0"/>
        <cfvo type="num" val="0" gte="0"/>
      </iconSet>
    </cfRule>
  </conditionalFormatting>
  <conditionalFormatting sqref="C146">
    <cfRule type="iconSet" priority="15">
      <iconSet iconSet="3Signs" showValue="0">
        <cfvo type="percent" val="0"/>
        <cfvo type="num" val="0"/>
        <cfvo type="num" val="0" gte="0"/>
      </iconSet>
    </cfRule>
  </conditionalFormatting>
  <conditionalFormatting sqref="C143 C160">
    <cfRule type="iconSet" priority="14">
      <iconSet iconSet="3Signs" showValue="0">
        <cfvo type="percent" val="0"/>
        <cfvo type="num" val="0"/>
        <cfvo type="num" val="0" gte="0"/>
      </iconSet>
    </cfRule>
  </conditionalFormatting>
  <conditionalFormatting sqref="C142 C159">
    <cfRule type="iconSet" priority="13">
      <iconSet iconSet="3Signs" showValue="0">
        <cfvo type="percent" val="0"/>
        <cfvo type="num" val="0"/>
        <cfvo type="num" val="0" gte="0"/>
      </iconSet>
    </cfRule>
  </conditionalFormatting>
  <conditionalFormatting sqref="S22:S37">
    <cfRule type="iconSet" priority="460">
      <iconSet iconSet="3Symbols" showValue="0">
        <cfvo type="percent" val="0"/>
        <cfvo type="num" val="0"/>
        <cfvo type="num" val="0" gte="0"/>
      </iconSet>
    </cfRule>
  </conditionalFormatting>
  <conditionalFormatting sqref="C21:C37">
    <cfRule type="iconSet" priority="462">
      <iconSet iconSet="3Signs" showValue="0">
        <cfvo type="percent" val="0"/>
        <cfvo type="num" val="0"/>
        <cfvo type="num" val="0" gte="0"/>
      </iconSet>
    </cfRule>
  </conditionalFormatting>
  <conditionalFormatting sqref="C100:C109 C97:C98">
    <cfRule type="iconSet" priority="483">
      <iconSet iconSet="3Signs" showValue="0">
        <cfvo type="percent" val="0"/>
        <cfvo type="num" val="0"/>
        <cfvo type="num" val="0" gte="0"/>
      </iconSet>
    </cfRule>
  </conditionalFormatting>
  <conditionalFormatting sqref="C41:C52">
    <cfRule type="iconSet" priority="493">
      <iconSet iconSet="3Signs" showValue="0">
        <cfvo type="percent" val="0"/>
        <cfvo type="num" val="0"/>
        <cfvo type="num" val="0" gte="0"/>
      </iconSet>
    </cfRule>
  </conditionalFormatting>
  <conditionalFormatting sqref="S39:S52">
    <cfRule type="iconSet" priority="515">
      <iconSet iconSet="3Symbols" showValue="0">
        <cfvo type="percent" val="0"/>
        <cfvo type="num" val="0"/>
        <cfvo type="num" val="0" gte="0"/>
      </iconSet>
    </cfRule>
  </conditionalFormatting>
  <conditionalFormatting sqref="E13">
    <cfRule type="containsBlanks" dxfId="68" priority="4">
      <formula>LEN(TRIM(E13))=0</formula>
    </cfRule>
  </conditionalFormatting>
  <conditionalFormatting sqref="I13:J14">
    <cfRule type="expression" dxfId="67" priority="516">
      <formula>#REF!="לא הוזן מספר פרקים"</formula>
    </cfRule>
  </conditionalFormatting>
  <dataValidations xWindow="613" yWindow="947" count="4">
    <dataValidation allowBlank="1" showInputMessage="1" showErrorMessage="1" prompt="נא להזין שם התכנית" sqref="G2:L2" xr:uid="{39176820-9549-434A-AEC3-D24C0F45128F}"/>
    <dataValidation type="decimal" operator="greaterThanOrEqual" allowBlank="1" showInputMessage="1" showErrorMessage="1" sqref="G60:G62 G142:G148 G151 D7:E7 J113:J115 I114:I115 G113:G115 I116:J121 I169:J174 I176:J176 I56:J56 G39:G48 I59:J62 E14:E15 E9:E11 G190 I190:J196 I123:J140 I142:J162 I21:J37 G22:G32 I95:J111 I39:J52" xr:uid="{9C169626-9AFF-44B2-83D0-106FCE51D887}">
      <formula1>0</formula1>
    </dataValidation>
    <dataValidation type="list" allowBlank="1" showInputMessage="1" showErrorMessage="1" sqref="H113" xr:uid="{4E36F577-EE05-4C4F-A273-09ED6CC0635B}">
      <formula1>יחידות_מידה_טיסות</formula1>
    </dataValidation>
    <dataValidation allowBlank="1" showInputMessage="1" showErrorMessage="1" prompt="נא להזין שם חברת ההפקה/מפיק" sqref="G3:L3" xr:uid="{7EC95B3F-5818-4BB2-88ED-1576C22699AF}"/>
  </dataValidations>
  <pageMargins left="0.7" right="0.7" top="0.75" bottom="0.75" header="0.3" footer="0.3"/>
  <pageSetup paperSize="9" scale="42" fitToHeight="0" orientation="landscape" r:id="rId1"/>
  <ignoredErrors>
    <ignoredError sqref="P151:Q151 K53:L53 K67:L67 P56:Q56 P59:Q59 K112:L112 K122:L122 K38:L38 K94:L94 K141:L14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13" id="{15DDC386-FE77-444A-A143-C3AC29A10A82}">
            <xm:f>AND(OR($O21=הגדרות!$B$17,$O21=הגדרות!$B$18,$O21=הגדרות!$B$22),ISBLANK($M21))</xm:f>
            <x14:dxf>
              <fill>
                <patternFill>
                  <bgColor rgb="FFF84E4E"/>
                </patternFill>
              </fill>
            </x14:dxf>
          </x14:cfRule>
          <xm:sqref>M176:N176 M190:M193 M21:M32 M95:M111 M39:M52</xm:sqref>
        </x14:conditionalFormatting>
        <x14:conditionalFormatting xmlns:xm="http://schemas.microsoft.com/office/excel/2006/main">
          <x14:cfRule type="expression" priority="312" id="{D71DF79E-6225-4539-AB29-3F65770AF3D2}">
            <xm:f>AND(OR($O33=הגדרות!$B$17,$O33=הגדרות!$B$18,$O33=הגדרות!$B$22),ISBLANK($M33))</xm:f>
            <x14:dxf>
              <fill>
                <patternFill>
                  <bgColor rgb="FFF84E4E"/>
                </pattern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306" id="{2F775F19-906E-490E-AB38-D3707B67D7A0}">
            <xm:f>AND($O22=הגדרות!$B$21,ISBLANK($G22))</xm:f>
            <x14:dxf>
              <fill>
                <patternFill>
                  <bgColor rgb="FFF84E4E"/>
                </patternFill>
              </fill>
            </x14:dxf>
          </x14:cfRule>
          <xm:sqref>G54:G55 G60:G66 G190 G28:G32 G22:G25 G43:G48</xm:sqref>
        </x14:conditionalFormatting>
        <x14:conditionalFormatting xmlns:xm="http://schemas.microsoft.com/office/excel/2006/main">
          <x14:cfRule type="expression" priority="304" id="{058EEE89-1308-4A88-9CC2-9FCECCF0C8C2}">
            <xm:f>AND($O22=הגדרות!$B$21,ISBLANK($H22))</xm:f>
            <x14:dxf>
              <fill>
                <patternFill>
                  <bgColor rgb="FFF84E4E"/>
                </patternFill>
              </fill>
            </x14:dxf>
          </x14:cfRule>
          <xm:sqref>H176 H54:H56 H59:H66 H123:H140 H142:H162 H190:H193 H22:H37 H95:H111 H39:H52</xm:sqref>
        </x14:conditionalFormatting>
        <x14:conditionalFormatting xmlns:xm="http://schemas.microsoft.com/office/excel/2006/main">
          <x14:cfRule type="expression" priority="302" id="{52C63356-960B-4B4C-A2DF-03BAA5FD9081}">
            <xm:f>AND($O22=הגדרות!$B$21,ISBLANK($I22))</xm:f>
            <x14:dxf>
              <fill>
                <patternFill>
                  <bgColor rgb="FFF84E4E"/>
                </patternFill>
              </fill>
            </x14:dxf>
          </x14:cfRule>
          <xm:sqref>I176 I54:I66 I123:I140 I142:I162 I190:I193 I28:I37 I22:I25 I95:I111 I43:I52</xm:sqref>
        </x14:conditionalFormatting>
        <x14:conditionalFormatting xmlns:xm="http://schemas.microsoft.com/office/excel/2006/main">
          <x14:cfRule type="expression" priority="301" id="{0F7183A9-2CCA-41AD-A5CF-CC45211BEE62}">
            <xm:f>AND($O22=הגדרות!$B$21,ISBLANK($J22))</xm:f>
            <x14:dxf>
              <fill>
                <patternFill>
                  <bgColor rgb="FFF84E4E"/>
                </patternFill>
              </fill>
            </x14:dxf>
          </x14:cfRule>
          <xm:sqref>J176 J54:J66 J123:J140 J142:J162 J190:J193 J28:J37 J22:J25 J95:J111 J43:J52</xm:sqref>
        </x14:conditionalFormatting>
        <x14:conditionalFormatting xmlns:xm="http://schemas.microsoft.com/office/excel/2006/main">
          <x14:cfRule type="expression" priority="298" id="{25AC5CA5-0059-4AA7-9B40-20C4F594AB6A}">
            <xm:f>AND($O39=הגדרות!$B$21,ISBLANK($G39))</xm:f>
            <x14:dxf>
              <fill>
                <patternFill>
                  <bgColor rgb="FFF84E4E"/>
                </patternFill>
              </fill>
            </x14:dxf>
          </x14:cfRule>
          <xm:sqref>G39:G42</xm:sqref>
        </x14:conditionalFormatting>
        <x14:conditionalFormatting xmlns:xm="http://schemas.microsoft.com/office/excel/2006/main">
          <x14:cfRule type="expression" priority="296" id="{D5E2A86F-6E9B-493E-A76E-A8F6B12FFC04}">
            <xm:f>AND($O39=הגדרות!$B$21,ISBLANK($J39))</xm:f>
            <x14:dxf>
              <fill>
                <patternFill>
                  <bgColor rgb="FFF84E4E"/>
                </patternFill>
              </fill>
            </x14:dxf>
          </x14:cfRule>
          <xm:sqref>J39:J42</xm:sqref>
        </x14:conditionalFormatting>
        <x14:conditionalFormatting xmlns:xm="http://schemas.microsoft.com/office/excel/2006/main">
          <x14:cfRule type="expression" priority="295" id="{D53C2DFC-927A-451C-8612-2C5C8ADFF0BB}">
            <xm:f>AND($O39=הגדרות!$B$21,ISBLANK($I39))</xm:f>
            <x14:dxf>
              <fill>
                <patternFill>
                  <bgColor rgb="FFF84E4E"/>
                </patternFill>
              </fill>
            </x14:dxf>
          </x14:cfRule>
          <xm:sqref>I39:I42</xm:sqref>
        </x14:conditionalFormatting>
        <x14:conditionalFormatting xmlns:xm="http://schemas.microsoft.com/office/excel/2006/main">
          <x14:cfRule type="expression" priority="268" id="{D969E22E-8B29-4F97-BB8D-F8546C785E7D}">
            <xm:f>AND($O142=הגדרות!$B$21,ISBLANK($G142))</xm:f>
            <x14:dxf>
              <fill>
                <patternFill>
                  <bgColor rgb="FFF84E4E"/>
                </patternFill>
              </fill>
            </x14:dxf>
          </x14:cfRule>
          <xm:sqref>G142:G148</xm:sqref>
        </x14:conditionalFormatting>
        <x14:conditionalFormatting xmlns:xm="http://schemas.microsoft.com/office/excel/2006/main">
          <x14:cfRule type="expression" priority="264" id="{FE2F6852-5160-47E2-B87E-8F57FB13709F}">
            <xm:f>AND($O151=הגדרות!$B$21,ISBLANK($G151))</xm:f>
            <x14:dxf>
              <fill>
                <patternFill>
                  <bgColor rgb="FFF84E4E"/>
                </patternFill>
              </fill>
            </x14:dxf>
          </x14:cfRule>
          <xm:sqref>G151</xm:sqref>
        </x14:conditionalFormatting>
        <x14:conditionalFormatting xmlns:xm="http://schemas.microsoft.com/office/excel/2006/main">
          <x14:cfRule type="expression" priority="252" id="{95F038FA-1851-4389-9EB7-3970BB72587D}">
            <xm:f>AND($O169=הגדרות!$B$21,ISBLANK($I169))</xm:f>
            <x14:dxf>
              <fill>
                <patternFill>
                  <bgColor rgb="FFF84E4E"/>
                </patternFill>
              </fill>
            </x14:dxf>
          </x14:cfRule>
          <xm:sqref>I169:I174</xm:sqref>
        </x14:conditionalFormatting>
        <x14:conditionalFormatting xmlns:xm="http://schemas.microsoft.com/office/excel/2006/main">
          <x14:cfRule type="expression" priority="253" id="{4B3B35D0-BD78-4608-89B6-3DFE046FFC86}">
            <xm:f>AND($O169=הגדרות!$B$21,ISBLANK($J169))</xm:f>
            <x14:dxf>
              <fill>
                <patternFill>
                  <bgColor rgb="FFF84E4E"/>
                </patternFill>
              </fill>
            </x14:dxf>
          </x14:cfRule>
          <xm:sqref>J169:J174</xm:sqref>
        </x14:conditionalFormatting>
        <x14:conditionalFormatting xmlns:xm="http://schemas.microsoft.com/office/excel/2006/main">
          <x14:cfRule type="expression" priority="245" id="{DAAC30BF-C77C-4DE6-9F36-10A365384BE3}">
            <xm:f>OR($O$4=הגדרות!$B$27,$O$4=הגדרות!$B$28,$O$4=הגדרות!$B$29)</xm:f>
            <x14:dxf>
              <font>
                <color rgb="FFFF0000"/>
              </font>
            </x14:dxf>
          </x14:cfRule>
          <x14:cfRule type="expression" priority="246" id="{80C5CD28-87B3-4FA7-80A7-A71693EAD2D4}">
            <xm:f>$O$4=הגדרות!$B$30</xm:f>
            <x14:dxf>
              <font>
                <color rgb="FF00B050"/>
              </font>
            </x14:dxf>
          </x14:cfRule>
          <xm:sqref>O4</xm:sqref>
        </x14:conditionalFormatting>
        <x14:conditionalFormatting xmlns:xm="http://schemas.microsoft.com/office/excel/2006/main">
          <x14:cfRule type="expression" priority="210" id="{3D97152C-9423-429B-8F34-2436C773D4E9}">
            <xm:f>AND($O68=הגדרות!$B$21,ISBLANK($J68))</xm:f>
            <x14:dxf>
              <fill>
                <patternFill>
                  <bgColor rgb="FFF84E4E"/>
                </patternFill>
              </fill>
            </x14:dxf>
          </x14:cfRule>
          <xm:sqref>J68:J93</xm:sqref>
        </x14:conditionalFormatting>
        <x14:conditionalFormatting xmlns:xm="http://schemas.microsoft.com/office/excel/2006/main">
          <x14:cfRule type="expression" priority="209" id="{3BA05AF2-9FFF-4843-A2E3-E909912EC0D1}">
            <xm:f>AND($O68=הגדרות!$B$21,ISBLANK($I68))</xm:f>
            <x14:dxf>
              <fill>
                <patternFill>
                  <bgColor rgb="FFF84E4E"/>
                </patternFill>
              </fill>
            </x14:dxf>
          </x14:cfRule>
          <xm:sqref>I68:I93</xm:sqref>
        </x14:conditionalFormatting>
        <x14:conditionalFormatting xmlns:xm="http://schemas.microsoft.com/office/excel/2006/main">
          <x14:cfRule type="expression" priority="212" id="{E0825119-A101-498B-B9CC-19346667534E}">
            <xm:f>AND($O68=הגדרות!$B$21,ISBLANK($G68))</xm:f>
            <x14:dxf>
              <fill>
                <patternFill>
                  <bgColor rgb="FFF84E4E"/>
                </patternFill>
              </fill>
            </x14:dxf>
          </x14:cfRule>
          <xm:sqref>G68:G86</xm:sqref>
        </x14:conditionalFormatting>
        <x14:conditionalFormatting xmlns:xm="http://schemas.microsoft.com/office/excel/2006/main">
          <x14:cfRule type="expression" priority="189" id="{AD54898D-926E-4251-8407-3CCB736D9B86}">
            <xm:f>AND($O113=הגדרות!$B$21,ISBLANK($J113))</xm:f>
            <x14:dxf>
              <fill>
                <patternFill>
                  <bgColor rgb="FFF84E4E"/>
                </patternFill>
              </fill>
            </x14:dxf>
          </x14:cfRule>
          <xm:sqref>J113:J115</xm:sqref>
        </x14:conditionalFormatting>
        <x14:conditionalFormatting xmlns:xm="http://schemas.microsoft.com/office/excel/2006/main">
          <x14:cfRule type="expression" priority="188" id="{FFFC100C-485E-4A76-AB16-9F5EB11399BE}">
            <xm:f>AND($O113=הגדרות!$B$21,ISBLANK($I113))</xm:f>
            <x14:dxf>
              <fill>
                <patternFill>
                  <bgColor rgb="FFF84E4E"/>
                </patternFill>
              </fill>
            </x14:dxf>
          </x14:cfRule>
          <xm:sqref>I113:I115</xm:sqref>
        </x14:conditionalFormatting>
        <x14:conditionalFormatting xmlns:xm="http://schemas.microsoft.com/office/excel/2006/main">
          <x14:cfRule type="expression" priority="190" id="{755E032D-95BC-406F-8368-D5FF078E0651}">
            <xm:f>AND($O113=הגדרות!$B$21,ISBLANK($G113))</xm:f>
            <x14:dxf>
              <fill>
                <patternFill>
                  <bgColor rgb="FFF84E4E"/>
                </patternFill>
              </fill>
            </x14:dxf>
          </x14:cfRule>
          <xm:sqref>G113:G115</xm:sqref>
        </x14:conditionalFormatting>
        <x14:conditionalFormatting xmlns:xm="http://schemas.microsoft.com/office/excel/2006/main">
          <x14:cfRule type="expression" priority="187" id="{87456383-A28C-45FB-9DF6-21FEFC755473}">
            <xm:f>AND($O113=הגדרות!$B$21,ISBLANK($H113))</xm:f>
            <x14:dxf>
              <fill>
                <patternFill>
                  <bgColor rgb="FFF84E4E"/>
                </patternFill>
              </fill>
            </x14:dxf>
          </x14:cfRule>
          <xm:sqref>H113</xm:sqref>
        </x14:conditionalFormatting>
        <x14:conditionalFormatting xmlns:xm="http://schemas.microsoft.com/office/excel/2006/main">
          <x14:cfRule type="expression" priority="185" id="{4E5BAEB5-BC6F-44C5-A525-D848C412DD59}">
            <xm:f>AND($O117=הגדרות!$B$21,ISBLANK($J117))</xm:f>
            <x14:dxf>
              <fill>
                <patternFill>
                  <bgColor rgb="FFF84E4E"/>
                </patternFill>
              </fill>
            </x14:dxf>
          </x14:cfRule>
          <xm:sqref>J117:J121</xm:sqref>
        </x14:conditionalFormatting>
        <x14:conditionalFormatting xmlns:xm="http://schemas.microsoft.com/office/excel/2006/main">
          <x14:cfRule type="expression" priority="184" id="{AFD6E93B-1C73-4249-9946-B0A5752D3AA1}">
            <xm:f>AND($O117=הגדרות!$B$21,ISBLANK($I117))</xm:f>
            <x14:dxf>
              <fill>
                <patternFill>
                  <bgColor rgb="FFF84E4E"/>
                </patternFill>
              </fill>
            </x14:dxf>
          </x14:cfRule>
          <xm:sqref>I117:I121</xm:sqref>
        </x14:conditionalFormatting>
        <x14:conditionalFormatting xmlns:xm="http://schemas.microsoft.com/office/excel/2006/main">
          <x14:cfRule type="expression" priority="181" id="{30BF562C-19D6-406E-B3B5-4CAB3842DC4B}">
            <xm:f>AND($O116=הגדרות!$B$21,ISBLANK($J116))</xm:f>
            <x14:dxf>
              <fill>
                <patternFill>
                  <bgColor rgb="FFF84E4E"/>
                </patternFill>
              </fill>
            </x14:dxf>
          </x14:cfRule>
          <xm:sqref>J116</xm:sqref>
        </x14:conditionalFormatting>
        <x14:conditionalFormatting xmlns:xm="http://schemas.microsoft.com/office/excel/2006/main">
          <x14:cfRule type="expression" priority="180" id="{DB6CFA81-CB4B-42D6-AA44-D85FD973B5D9}">
            <xm:f>AND($O116=הגדרות!$B$21,ISBLANK($I116))</xm:f>
            <x14:dxf>
              <fill>
                <patternFill>
                  <bgColor rgb="FFF84E4E"/>
                </patternFill>
              </fill>
            </x14:dxf>
          </x14:cfRule>
          <xm:sqref>I116</xm:sqref>
        </x14:conditionalFormatting>
        <x14:conditionalFormatting xmlns:xm="http://schemas.microsoft.com/office/excel/2006/main">
          <x14:cfRule type="expression" priority="178" id="{EAC7D58C-2973-404D-9559-9DB10C124FAB}">
            <xm:f>AND($O26=הגדרות!$B$21,ISBLANK($G26))</xm:f>
            <x14:dxf>
              <fill>
                <patternFill>
                  <bgColor rgb="FFF84E4E"/>
                </patternFill>
              </fill>
            </x14:dxf>
          </x14:cfRule>
          <xm:sqref>G26:G27</xm:sqref>
        </x14:conditionalFormatting>
        <x14:conditionalFormatting xmlns:xm="http://schemas.microsoft.com/office/excel/2006/main">
          <x14:cfRule type="expression" priority="176" id="{4E865B42-3EDC-4A8E-B52D-F10CF2A3F994}">
            <xm:f>AND($O26=הגדרות!$B$21,ISBLANK($J26))</xm:f>
            <x14:dxf>
              <fill>
                <patternFill>
                  <bgColor rgb="FFF84E4E"/>
                </patternFill>
              </fill>
            </x14:dxf>
          </x14:cfRule>
          <xm:sqref>J26:J27</xm:sqref>
        </x14:conditionalFormatting>
        <x14:conditionalFormatting xmlns:xm="http://schemas.microsoft.com/office/excel/2006/main">
          <x14:cfRule type="expression" priority="175" id="{F506636D-CBAE-464B-A10C-8884895EC58D}">
            <xm:f>AND($O26=הגדרות!$B$21,ISBLANK($I26))</xm:f>
            <x14:dxf>
              <fill>
                <patternFill>
                  <bgColor rgb="FFF84E4E"/>
                </patternFill>
              </fill>
            </x14:dxf>
          </x14:cfRule>
          <xm:sqref>I26:I27</xm:sqref>
        </x14:conditionalFormatting>
        <x14:conditionalFormatting xmlns:xm="http://schemas.microsoft.com/office/excel/2006/main">
          <x14:cfRule type="expression" priority="139" id="{A2B8A378-5AD8-461E-AE41-C81437804EDF}">
            <xm:f>AND($O68=הגדרות!$B$21,ISBLANK($H68))</xm:f>
            <x14:dxf>
              <fill>
                <patternFill>
                  <bgColor rgb="FFF84E4E"/>
                </patternFill>
              </fill>
            </x14:dxf>
          </x14:cfRule>
          <xm:sqref>H68:H93</xm:sqref>
        </x14:conditionalFormatting>
        <x14:conditionalFormatting xmlns:xm="http://schemas.microsoft.com/office/excel/2006/main">
          <x14:cfRule type="expression" priority="118" id="{B1986AD4-A454-46E9-8BF8-12CEB07F810E}">
            <xm:f>AND($O116=הגדרות!$B$21,ISBLANK($H116))</xm:f>
            <x14:dxf>
              <fill>
                <patternFill>
                  <bgColor rgb="FFF84E4E"/>
                </patternFill>
              </fill>
            </x14:dxf>
          </x14:cfRule>
          <xm:sqref>H116:H121</xm:sqref>
        </x14:conditionalFormatting>
        <x14:conditionalFormatting xmlns:xm="http://schemas.microsoft.com/office/excel/2006/main">
          <x14:cfRule type="expression" priority="114" id="{1949E945-5FF5-45E7-BE79-E2767E3253AE}">
            <xm:f>AND($O114=הגדרות!$B$21,ISBLANK($H114))</xm:f>
            <x14:dxf>
              <fill>
                <patternFill>
                  <bgColor rgb="FFF84E4E"/>
                </patternFill>
              </fill>
            </x14:dxf>
          </x14:cfRule>
          <xm:sqref>H114:H115</xm:sqref>
        </x14:conditionalFormatting>
        <x14:conditionalFormatting xmlns:xm="http://schemas.microsoft.com/office/excel/2006/main">
          <x14:cfRule type="expression" priority="109" id="{E91CF07D-3E44-4F97-904D-F9034A64EFA0}">
            <xm:f>AND($O57=הגדרות!$B$21,ISBLANK($H57))</xm:f>
            <x14:dxf>
              <fill>
                <patternFill>
                  <bgColor rgb="FFF84E4E"/>
                </patternFill>
              </fill>
            </x14:dxf>
          </x14:cfRule>
          <xm:sqref>H57:H58</xm:sqref>
        </x14:conditionalFormatting>
        <x14:conditionalFormatting xmlns:xm="http://schemas.microsoft.com/office/excel/2006/main">
          <x14:cfRule type="expression" priority="108" id="{EA7DF27F-A426-40F4-9BD3-37B510DC07BE}">
            <xm:f>AND($O57=הגדרות!$B$21,ISBLANK($G57))</xm:f>
            <x14:dxf>
              <fill>
                <patternFill>
                  <bgColor rgb="FFF84E4E"/>
                </patternFill>
              </fill>
            </x14:dxf>
          </x14:cfRule>
          <xm:sqref>G57:G58</xm:sqref>
        </x14:conditionalFormatting>
        <x14:conditionalFormatting xmlns:xm="http://schemas.microsoft.com/office/excel/2006/main">
          <x14:cfRule type="expression" priority="97" id="{DB981E41-5E5A-46F9-B462-5F43B1249847}">
            <xm:f>AND($O21=הגדרות!$B$21,ISBLANK($H21))</xm:f>
            <x14:dxf>
              <fill>
                <patternFill>
                  <bgColor rgb="FFF84E4E"/>
                </patternFill>
              </fill>
            </x14:dxf>
          </x14:cfRule>
          <xm:sqref>H21</xm:sqref>
        </x14:conditionalFormatting>
        <x14:conditionalFormatting xmlns:xm="http://schemas.microsoft.com/office/excel/2006/main">
          <x14:cfRule type="expression" priority="96" id="{B94FA5D9-0B0E-4A58-BE65-1916408EDEB1}">
            <xm:f>AND($O21=הגדרות!$B$21,ISBLANK($J21))</xm:f>
            <x14:dxf>
              <fill>
                <patternFill>
                  <bgColor rgb="FFF84E4E"/>
                </patternFill>
              </fill>
            </x14:dxf>
          </x14:cfRule>
          <xm:sqref>J21</xm:sqref>
        </x14:conditionalFormatting>
        <x14:conditionalFormatting xmlns:xm="http://schemas.microsoft.com/office/excel/2006/main">
          <x14:cfRule type="expression" priority="95" id="{9FB1C0E4-883A-4B7B-92FC-88343E80C68F}">
            <xm:f>AND($O21=הגדרות!$B$21,ISBLANK($I21))</xm:f>
            <x14:dxf>
              <fill>
                <patternFill>
                  <bgColor rgb="FFF84E4E"/>
                </patternFill>
              </fill>
            </x14:dxf>
          </x14:cfRule>
          <xm:sqref>I21</xm:sqref>
        </x14:conditionalFormatting>
        <x14:conditionalFormatting xmlns:xm="http://schemas.microsoft.com/office/excel/2006/main">
          <x14:cfRule type="expression" priority="66" id="{60ED895C-4DB1-4531-8048-E727EBF6D99A}">
            <xm:f>AND(OR($O34=הגדרות!$B$17,$O34=הגדרות!$B$18,$O34=הגדרות!$B$22),ISBLANK($M34))</xm:f>
            <x14:dxf>
              <fill>
                <patternFill>
                  <bgColor rgb="FFF84E4E"/>
                </patternFill>
              </fill>
            </x14:dxf>
          </x14:cfRule>
          <xm:sqref>M34:M37</xm:sqref>
        </x14:conditionalFormatting>
        <x14:conditionalFormatting xmlns:xm="http://schemas.microsoft.com/office/excel/2006/main">
          <x14:cfRule type="expression" priority="64" id="{8B955A88-5055-4E41-A000-2E10BC51309A}">
            <xm:f>AND(OR($O57=הגדרות!$B$17,$O57=הגדרות!$B$18,$O57=הגדרות!$B$22),ISBLANK($M57))</xm:f>
            <x14:dxf>
              <fill>
                <patternFill>
                  <bgColor rgb="FFF84E4E"/>
                </patternFill>
              </fill>
            </x14:dxf>
          </x14:cfRule>
          <xm:sqref>M57:M66</xm:sqref>
        </x14:conditionalFormatting>
        <x14:conditionalFormatting xmlns:xm="http://schemas.microsoft.com/office/excel/2006/main">
          <x14:cfRule type="expression" priority="63" id="{5EA25CA7-8722-430C-A608-7EEE26C59FAE}">
            <xm:f>AND(OR($O54=הגדרות!$B$17,$O54=הגדרות!$B$18,$O54=הגדרות!$B$22),ISBLANK($M54))</xm:f>
            <x14:dxf>
              <fill>
                <patternFill>
                  <bgColor rgb="FFF84E4E"/>
                </patternFill>
              </fill>
            </x14:dxf>
          </x14:cfRule>
          <xm:sqref>M54:M56</xm:sqref>
        </x14:conditionalFormatting>
        <x14:conditionalFormatting xmlns:xm="http://schemas.microsoft.com/office/excel/2006/main">
          <x14:cfRule type="expression" priority="62" id="{C9668BB8-C0F5-44A7-957F-BF4A74AADE9E}">
            <xm:f>AND(OR($O68=הגדרות!$B$17,$O68=הגדרות!$B$18,$O68=הגדרות!$B$22),ISBLANK($M68))</xm:f>
            <x14:dxf>
              <fill>
                <patternFill>
                  <bgColor rgb="FFF84E4E"/>
                </patternFill>
              </fill>
            </x14:dxf>
          </x14:cfRule>
          <xm:sqref>M68:M93</xm:sqref>
        </x14:conditionalFormatting>
        <x14:conditionalFormatting xmlns:xm="http://schemas.microsoft.com/office/excel/2006/main">
          <x14:cfRule type="expression" priority="60" id="{6600173F-61E0-4713-9428-D705F1ACC53C}">
            <xm:f>AND(OR($O113=הגדרות!$B$17,$O113=הגדרות!$B$18,$O113=הגדרות!$B$22),ISBLANK($M113))</xm:f>
            <x14:dxf>
              <fill>
                <patternFill>
                  <bgColor rgb="FFF84E4E"/>
                </patternFill>
              </fill>
            </x14:dxf>
          </x14:cfRule>
          <xm:sqref>M113:M121</xm:sqref>
        </x14:conditionalFormatting>
        <x14:conditionalFormatting xmlns:xm="http://schemas.microsoft.com/office/excel/2006/main">
          <x14:cfRule type="expression" priority="59" id="{B0FD7456-658E-47CE-8487-AB5CA10C262C}">
            <xm:f>AND(OR($O123=הגדרות!$B$17,$O123=הגדרות!$B$18,$O123=הגדרות!$B$22),ISBLANK($M123))</xm:f>
            <x14:dxf>
              <fill>
                <patternFill>
                  <bgColor rgb="FFF84E4E"/>
                </patternFill>
              </fill>
            </x14:dxf>
          </x14:cfRule>
          <xm:sqref>M123:M140</xm:sqref>
        </x14:conditionalFormatting>
        <x14:conditionalFormatting xmlns:xm="http://schemas.microsoft.com/office/excel/2006/main">
          <x14:cfRule type="expression" priority="58" id="{23CCCC6B-C301-4F0B-9078-C5AAC445B9A1}">
            <xm:f>AND(OR($O142=הגדרות!$B$17,$O142=הגדרות!$B$18,$O142=הגדרות!$B$22),ISBLANK($M142))</xm:f>
            <x14:dxf>
              <fill>
                <patternFill>
                  <bgColor rgb="FFF84E4E"/>
                </patternFill>
              </fill>
            </x14:dxf>
          </x14:cfRule>
          <xm:sqref>M142:M162</xm:sqref>
        </x14:conditionalFormatting>
        <x14:conditionalFormatting xmlns:xm="http://schemas.microsoft.com/office/excel/2006/main">
          <x14:cfRule type="expression" priority="57" id="{F2D3D710-3E36-46E8-9EFB-9F73A5E6123E}">
            <xm:f>AND($O169=הגדרות!$B$21,ISBLANK($H169))</xm:f>
            <x14:dxf>
              <fill>
                <patternFill>
                  <bgColor rgb="FFF84E4E"/>
                </patternFill>
              </fill>
            </x14:dxf>
          </x14:cfRule>
          <xm:sqref>H169:H174</xm:sqref>
        </x14:conditionalFormatting>
        <x14:conditionalFormatting xmlns:xm="http://schemas.microsoft.com/office/excel/2006/main">
          <x14:cfRule type="expression" priority="55" id="{3A38DA67-F1EC-4DA8-94B2-9B1D11436022}">
            <xm:f>AND(OR($O167=הגדרות!$B$17,$O167=הגדרות!$B$18,$O167=הגדרות!$B$22),ISBLANK($M167))</xm:f>
            <x14:dxf>
              <fill>
                <patternFill>
                  <bgColor rgb="FFF84E4E"/>
                </patternFill>
              </fill>
            </x14:dxf>
          </x14:cfRule>
          <xm:sqref>M167</xm:sqref>
        </x14:conditionalFormatting>
        <x14:conditionalFormatting xmlns:xm="http://schemas.microsoft.com/office/excel/2006/main">
          <x14:cfRule type="expression" priority="54" id="{30266C65-B5DC-4087-9D65-DC97003B5D60}">
            <xm:f>AND(OR($O169=הגדרות!$B$17,$O169=הגדרות!$B$18,$O169=הגדרות!$B$22),ISBLANK($M169))</xm:f>
            <x14:dxf>
              <fill>
                <patternFill>
                  <bgColor rgb="FFF84E4E"/>
                </patternFill>
              </fill>
            </x14:dxf>
          </x14:cfRule>
          <xm:sqref>M169:M174</xm:sqref>
        </x14:conditionalFormatting>
        <x14:conditionalFormatting xmlns:xm="http://schemas.microsoft.com/office/excel/2006/main">
          <x14:cfRule type="expression" priority="9" id="{CD139FA4-0663-4E58-9E93-7FFA3BF4DE8E}">
            <xm:f>AND($O194=הגדרות!$B$21,ISBLANK($G194))</xm:f>
            <x14:dxf>
              <fill>
                <patternFill>
                  <bgColor rgb="FFF84E4E"/>
                </patternFill>
              </fill>
            </x14:dxf>
          </x14:cfRule>
          <xm:sqref>G194:G196</xm:sqref>
        </x14:conditionalFormatting>
        <x14:conditionalFormatting xmlns:xm="http://schemas.microsoft.com/office/excel/2006/main">
          <x14:cfRule type="expression" priority="8" id="{2790AC8F-6FA6-4C87-A861-5AF09D5C3526}">
            <xm:f>AND($O194=הגדרות!$B$21,ISBLANK($H194))</xm:f>
            <x14:dxf>
              <fill>
                <patternFill>
                  <bgColor rgb="FFF84E4E"/>
                </patternFill>
              </fill>
            </x14:dxf>
          </x14:cfRule>
          <xm:sqref>H194:H196</xm:sqref>
        </x14:conditionalFormatting>
        <x14:conditionalFormatting xmlns:xm="http://schemas.microsoft.com/office/excel/2006/main">
          <x14:cfRule type="expression" priority="7" id="{AF65AE4C-281D-4953-AA05-4D72BA549669}">
            <xm:f>AND($O194=הגדרות!$B$21,ISBLANK($I194))</xm:f>
            <x14:dxf>
              <fill>
                <patternFill>
                  <bgColor rgb="FFF84E4E"/>
                </patternFill>
              </fill>
            </x14:dxf>
          </x14:cfRule>
          <xm:sqref>I194:I196</xm:sqref>
        </x14:conditionalFormatting>
        <x14:conditionalFormatting xmlns:xm="http://schemas.microsoft.com/office/excel/2006/main">
          <x14:cfRule type="expression" priority="6" id="{18C9AA78-C9DE-4836-B304-C602F0C519B2}">
            <xm:f>AND($O194=הגדרות!$B$21,ISBLANK($J194))</xm:f>
            <x14:dxf>
              <fill>
                <patternFill>
                  <bgColor rgb="FFF84E4E"/>
                </patternFill>
              </fill>
            </x14:dxf>
          </x14:cfRule>
          <xm:sqref>J194:J196</xm:sqref>
        </x14:conditionalFormatting>
        <x14:conditionalFormatting xmlns:xm="http://schemas.microsoft.com/office/excel/2006/main">
          <x14:cfRule type="expression" priority="5" id="{BB8AF474-3B66-41EC-983A-D617001406EF}">
            <xm:f>AND(OR($O194=הגדרות!$B$17,$O194=הגדרות!$B$18,$O194=הגדרות!$B$22),ISBLANK($M194))</xm:f>
            <x14:dxf>
              <fill>
                <patternFill>
                  <bgColor rgb="FFF84E4E"/>
                </patternFill>
              </fill>
            </x14:dxf>
          </x14:cfRule>
          <xm:sqref>M194:M196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613" yWindow="947" count="9">
        <x14:dataValidation type="list" allowBlank="1" showInputMessage="1" showErrorMessage="1" prompt="בחר מהרשימה" xr:uid="{52BB8620-46C5-4602-A582-8762447643ED}">
          <x14:formula1>
            <xm:f>הגדרות!$AJ$2:$AJ$6</xm:f>
          </x14:formula1>
          <xm:sqref>H114:H121 H68:H93 H190:H196 H54:H66 H123:H140 H142:H162 H169:H174 H22:H37 H95:H111 H39:H52</xm:sqref>
        </x14:dataValidation>
        <x14:dataValidation type="list" allowBlank="1" showInputMessage="1" showErrorMessage="1" prompt="בחר מהרשימה" xr:uid="{5EDE67C9-6699-48A4-818E-D1E59501BB3F}">
          <x14:formula1>
            <xm:f>הגדרות!$U$2:$U$3</xm:f>
          </x14:formula1>
          <xm:sqref>H176</xm:sqref>
        </x14:dataValidation>
        <x14:dataValidation type="list" allowBlank="1" showInputMessage="1" showErrorMessage="1" prompt="בחר מהרשימה" xr:uid="{2CED6C14-A694-401D-9F20-3443B010D5AD}">
          <x14:formula1>
            <xm:f>הגדרות!$AC$2:$AC$3</xm:f>
          </x14:formula1>
          <xm:sqref>H21</xm:sqref>
        </x14:dataValidation>
        <x14:dataValidation type="list" allowBlank="1" showInputMessage="1" showErrorMessage="1" xr:uid="{36A6413F-961C-443C-A399-B0B6F9C1F8EF}">
          <x14:formula1>
            <xm:f>'מק"ט'!$B$2:$B$9</xm:f>
          </x14:formula1>
          <xm:sqref>B3</xm:sqref>
        </x14:dataValidation>
        <x14:dataValidation type="list" allowBlank="1" showInputMessage="1" showErrorMessage="1" xr:uid="{0F389C22-EDEA-4FDA-A887-001F0F183DBB}">
          <x14:formula1>
            <xm:f>הגדרות!$C$2:$C$4</xm:f>
          </x14:formula1>
          <xm:sqref>D10:D15</xm:sqref>
        </x14:dataValidation>
        <x14:dataValidation type="decimal" operator="equal" allowBlank="1" showInputMessage="1" showErrorMessage="1" xr:uid="{B12573B3-2A86-4200-9BD8-7F08800C15FF}">
          <x14:formula1>
            <xm:f>הגדרות!B11</xm:f>
          </x14:formula1>
          <xm:sqref>I199</xm:sqref>
        </x14:dataValidation>
        <x14:dataValidation type="decimal" operator="equal" allowBlank="1" showInputMessage="1" showErrorMessage="1" xr:uid="{F8E5D5E1-C80F-49CA-92D9-ED54FE753EE9}">
          <x14:formula1>
            <xm:f>הגדרות!B1048574</xm:f>
          </x14:formula1>
          <xm:sqref>I182</xm:sqref>
        </x14:dataValidation>
        <x14:dataValidation type="decimal" allowBlank="1" showInputMessage="1" showErrorMessage="1" prompt="רווח מקסימלי - 10% מסך העלות הישירה" xr:uid="{8E8C2354-91A1-4A90-8BAF-18C6B347FD63}">
          <x14:formula1>
            <xm:f>הגדרות!B9</xm:f>
          </x14:formula1>
          <x14:formula2>
            <xm:f>הגדרות!C9</xm:f>
          </x14:formula2>
          <xm:sqref>I179</xm:sqref>
        </x14:dataValidation>
        <x14:dataValidation type="decimal" allowBlank="1" showInputMessage="1" showErrorMessage="1" prompt="מקסימום - 5%" xr:uid="{41F4699D-51C9-4F14-B3F1-E397710E5CA3}">
          <x14:formula1>
            <xm:f>הגדרות!B8</xm:f>
          </x14:formula1>
          <x14:formula2>
            <xm:f>הגדרות!C8</xm:f>
          </x14:formula2>
          <xm:sqref>I167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D1054E"/>
  </sheetPr>
  <dimension ref="C1:J31"/>
  <sheetViews>
    <sheetView rightToLeft="1" workbookViewId="0">
      <selection activeCell="C21" sqref="C21"/>
    </sheetView>
  </sheetViews>
  <sheetFormatPr defaultColWidth="9" defaultRowHeight="14.25" x14ac:dyDescent="0.2"/>
  <cols>
    <col min="1" max="2" width="9" style="6"/>
    <col min="3" max="3" width="36.75" style="6" customWidth="1"/>
    <col min="4" max="4" width="12.625" style="6" customWidth="1"/>
    <col min="5" max="5" width="22.375" style="6" customWidth="1"/>
    <col min="6" max="6" width="30.875" style="6" customWidth="1"/>
    <col min="7" max="7" width="9" style="6"/>
    <col min="8" max="8" width="25.375" style="6" customWidth="1"/>
    <col min="9" max="9" width="14.375" style="6" customWidth="1"/>
    <col min="10" max="10" width="14.625" style="6" customWidth="1"/>
    <col min="11" max="16384" width="9" style="6"/>
  </cols>
  <sheetData>
    <row r="1" spans="3:10" ht="15" thickBot="1" x14ac:dyDescent="0.25"/>
    <row r="2" spans="3:10" ht="30" customHeight="1" thickBot="1" x14ac:dyDescent="0.25">
      <c r="C2" s="394">
        <f>תקציב!G2</f>
        <v>0</v>
      </c>
      <c r="D2" s="395"/>
      <c r="E2" s="395"/>
      <c r="F2" s="396"/>
    </row>
    <row r="3" spans="3:10" ht="30" customHeight="1" thickBot="1" x14ac:dyDescent="0.25">
      <c r="C3" s="394">
        <f>תקציב!G3</f>
        <v>0</v>
      </c>
      <c r="D3" s="395"/>
      <c r="E3" s="395"/>
      <c r="F3" s="396"/>
    </row>
    <row r="5" spans="3:10" ht="15" thickBot="1" x14ac:dyDescent="0.25"/>
    <row r="6" spans="3:10" ht="24.95" customHeight="1" thickBot="1" x14ac:dyDescent="0.25">
      <c r="C6" s="164" t="s">
        <v>60</v>
      </c>
      <c r="D6" s="148"/>
      <c r="E6" s="148" t="s">
        <v>150</v>
      </c>
      <c r="F6" s="165" t="s">
        <v>64</v>
      </c>
      <c r="H6" s="364" t="str">
        <f>תקציב!B6</f>
        <v>פרטים כלליים</v>
      </c>
      <c r="I6" s="365"/>
      <c r="J6" s="357"/>
    </row>
    <row r="7" spans="3:10" s="2" customFormat="1" ht="21.95" customHeight="1" thickBot="1" x14ac:dyDescent="0.25">
      <c r="C7" s="166" t="str">
        <f>MID(תקציב!E38,6,LEN(תקציב!E38)-5)</f>
        <v>מערכת</v>
      </c>
      <c r="D7" s="167"/>
      <c r="E7" s="278">
        <f>תקציב!K38</f>
        <v>0</v>
      </c>
      <c r="F7" s="279">
        <f>תקציב!L38</f>
        <v>0</v>
      </c>
      <c r="H7" s="168" t="str">
        <f>תקציב!B7</f>
        <v>מספר תכניות/פרקים</v>
      </c>
      <c r="I7" s="397">
        <f>תקציב!D7</f>
        <v>0</v>
      </c>
      <c r="J7" s="398"/>
    </row>
    <row r="8" spans="3:10" s="2" customFormat="1" ht="21.95" customHeight="1" thickBot="1" x14ac:dyDescent="0.25">
      <c r="C8" s="166" t="str">
        <f>MID(תקציב!E53,6,LEN(תקציב!E53)-5)</f>
        <v>צוות הפקה וצילום</v>
      </c>
      <c r="D8" s="167"/>
      <c r="E8" s="278">
        <f>תקציב!K53</f>
        <v>0</v>
      </c>
      <c r="F8" s="279">
        <f>תקציב!L53</f>
        <v>0</v>
      </c>
      <c r="H8" s="169"/>
      <c r="I8" s="170" t="str">
        <f>תקציב!D8</f>
        <v>יחידת מידה</v>
      </c>
      <c r="J8" s="171" t="str">
        <f>תקציב!E8</f>
        <v>כמות יחידות</v>
      </c>
    </row>
    <row r="9" spans="3:10" s="2" customFormat="1" ht="21.95" customHeight="1" x14ac:dyDescent="0.2">
      <c r="C9" s="166" t="str">
        <f>MID(תקציב!E67,6,LEN(תקציב!E67)-5)</f>
        <v>מחלקה אמנותית</v>
      </c>
      <c r="D9" s="167"/>
      <c r="E9" s="278">
        <f>תקציב!K67</f>
        <v>0</v>
      </c>
      <c r="F9" s="279">
        <f>תקציב!L67</f>
        <v>0</v>
      </c>
      <c r="H9" s="172" t="str">
        <f>תקציב!B9</f>
        <v>אורך פרק</v>
      </c>
      <c r="I9" s="173" t="str">
        <f>תקציב!D9</f>
        <v>דקות</v>
      </c>
      <c r="J9" s="174">
        <f>תקציב!E9</f>
        <v>0</v>
      </c>
    </row>
    <row r="10" spans="3:10" s="2" customFormat="1" ht="21.95" customHeight="1" x14ac:dyDescent="0.2">
      <c r="C10" s="166" t="str">
        <f>MID(תקציב!E94,6,LEN(תקציב!E94)-5)</f>
        <v>שחקנים</v>
      </c>
      <c r="D10" s="167"/>
      <c r="E10" s="278">
        <f>תקציב!K94</f>
        <v>0</v>
      </c>
      <c r="F10" s="279">
        <f>תקציב!L94</f>
        <v>0</v>
      </c>
      <c r="H10" s="175" t="str">
        <f>תקציב!B10</f>
        <v>ליהוק ופרה פרודקשן</v>
      </c>
      <c r="I10" s="176">
        <f>תקציב!D10</f>
        <v>0</v>
      </c>
      <c r="J10" s="177">
        <f>תקציב!E10</f>
        <v>0</v>
      </c>
    </row>
    <row r="11" spans="3:10" s="2" customFormat="1" ht="21.95" customHeight="1" x14ac:dyDescent="0.2">
      <c r="C11" s="166" t="str">
        <f>MID(תקציב!E112,6,LEN(תקציב!E112)-5)</f>
        <v>אולפן, ציוד טכני וחו"ג</v>
      </c>
      <c r="D11" s="167"/>
      <c r="E11" s="278">
        <f>תקציב!K112</f>
        <v>0</v>
      </c>
      <c r="F11" s="279">
        <f>תקציב!L112</f>
        <v>0</v>
      </c>
      <c r="H11" s="175" t="str">
        <f>תקציב!B11</f>
        <v>צילומי אולפן</v>
      </c>
      <c r="I11" s="176">
        <f>תקציב!D11</f>
        <v>0</v>
      </c>
      <c r="J11" s="177">
        <f>תקציב!E11</f>
        <v>0</v>
      </c>
    </row>
    <row r="12" spans="3:10" s="2" customFormat="1" ht="21.95" customHeight="1" x14ac:dyDescent="0.2">
      <c r="C12" s="166" t="str">
        <f>MID(תקציב!E122,6,LEN(תקציב!E122)-5)</f>
        <v>חו"ל</v>
      </c>
      <c r="D12" s="167"/>
      <c r="E12" s="278">
        <f>תקציב!K122</f>
        <v>0</v>
      </c>
      <c r="F12" s="279">
        <f>תקציב!L122</f>
        <v>0</v>
      </c>
      <c r="H12" s="175" t="str">
        <f>תקציב!B12</f>
        <v>צילומי חוץ</v>
      </c>
      <c r="I12" s="176">
        <f>תקציב!D12</f>
        <v>0</v>
      </c>
      <c r="J12" s="177">
        <f>תקציב!E12</f>
        <v>0</v>
      </c>
    </row>
    <row r="13" spans="3:10" s="2" customFormat="1" ht="21.95" customHeight="1" x14ac:dyDescent="0.2">
      <c r="C13" s="166" t="str">
        <f>MID(תקציב!E141,6,LEN(תקציב!E141)-5)</f>
        <v>שונות</v>
      </c>
      <c r="D13" s="167"/>
      <c r="E13" s="278">
        <f>תקציב!K141</f>
        <v>0</v>
      </c>
      <c r="F13" s="279">
        <f>תקציב!L141</f>
        <v>0</v>
      </c>
      <c r="H13" s="175" t="str">
        <f>תקציב!B14</f>
        <v>ויזואלס/השלמות</v>
      </c>
      <c r="I13" s="176">
        <f>תקציב!D14</f>
        <v>0</v>
      </c>
      <c r="J13" s="177">
        <f>תקציב!E14</f>
        <v>0</v>
      </c>
    </row>
    <row r="14" spans="3:10" s="2" customFormat="1" ht="24.95" customHeight="1" thickBot="1" x14ac:dyDescent="0.25">
      <c r="C14" s="166" t="str">
        <f>MID(תקציב!E163,6,LEN(תקציב!E163)-5)</f>
        <v>עריכה</v>
      </c>
      <c r="D14" s="167"/>
      <c r="E14" s="278">
        <f>תקציב!K163</f>
        <v>0</v>
      </c>
      <c r="F14" s="279">
        <f>תקציב!L163</f>
        <v>0</v>
      </c>
      <c r="H14" s="181" t="str">
        <f>תקציב!B15</f>
        <v>סך תקופת ההפקה</v>
      </c>
      <c r="I14" s="182">
        <f>תקציב!D15</f>
        <v>0</v>
      </c>
      <c r="J14" s="183">
        <f>תקציב!E15</f>
        <v>0</v>
      </c>
    </row>
    <row r="15" spans="3:10" s="2" customFormat="1" ht="24.95" customHeight="1" thickBot="1" x14ac:dyDescent="0.25">
      <c r="C15" s="178" t="str">
        <f>MID(תקציב!E165,6,LEN(תקציב!E165)-5)</f>
        <v>עלות ישירה</v>
      </c>
      <c r="D15" s="179"/>
      <c r="E15" s="280">
        <f>תקציב!K165</f>
        <v>0</v>
      </c>
      <c r="F15" s="281">
        <f>תקציב!L165</f>
        <v>0</v>
      </c>
    </row>
    <row r="16" spans="3:10" s="2" customFormat="1" ht="24.95" customHeight="1" thickTop="1" x14ac:dyDescent="0.2">
      <c r="C16" s="166" t="str">
        <f>תקציב!E167</f>
        <v>בלת"צ</v>
      </c>
      <c r="D16" s="180">
        <f>תקציב!I167</f>
        <v>0</v>
      </c>
      <c r="E16" s="278">
        <f>תקציב!K167</f>
        <v>0</v>
      </c>
      <c r="F16" s="279" t="str">
        <f>תקציב!L167</f>
        <v/>
      </c>
    </row>
    <row r="17" spans="3:10" s="2" customFormat="1" ht="24.95" customHeight="1" thickBot="1" x14ac:dyDescent="0.25">
      <c r="C17" s="178" t="str">
        <f>MID(תקציב!E168,6,LEN(תקציב!E168)-5)</f>
        <v>עלות כולל בלת"צ</v>
      </c>
      <c r="D17" s="179"/>
      <c r="E17" s="280">
        <f>תקציב!K168</f>
        <v>0</v>
      </c>
      <c r="F17" s="281" t="str">
        <f>תקציב!L168</f>
        <v/>
      </c>
    </row>
    <row r="18" spans="3:10" s="2" customFormat="1" ht="24.95" customHeight="1" thickTop="1" x14ac:dyDescent="0.2">
      <c r="C18" s="166" t="s">
        <v>182</v>
      </c>
      <c r="D18" s="167"/>
      <c r="E18" s="278">
        <f>SUM(תקציב!K169:K174)</f>
        <v>0</v>
      </c>
      <c r="F18" s="279">
        <f>SUM(תקציב!L169:L174)</f>
        <v>0</v>
      </c>
    </row>
    <row r="19" spans="3:10" s="2" customFormat="1" ht="24.95" customHeight="1" thickBot="1" x14ac:dyDescent="0.25">
      <c r="C19" s="178" t="str">
        <f>MID(תקציב!E177,6,LEN(תקציב!E177)-5)</f>
        <v>עלות לפני רווח</v>
      </c>
      <c r="D19" s="179"/>
      <c r="E19" s="280">
        <f>תקציב!K177</f>
        <v>0</v>
      </c>
      <c r="F19" s="281" t="str">
        <f>תקציב!L177</f>
        <v/>
      </c>
    </row>
    <row r="20" spans="3:10" s="2" customFormat="1" ht="24.95" customHeight="1" thickTop="1" x14ac:dyDescent="0.2">
      <c r="C20" s="166" t="s">
        <v>30</v>
      </c>
      <c r="D20" s="180">
        <f>תקציב!I179</f>
        <v>0</v>
      </c>
      <c r="E20" s="278">
        <f>תקציב!K179</f>
        <v>0</v>
      </c>
      <c r="F20" s="279" t="str">
        <f>תקציב!L179</f>
        <v/>
      </c>
    </row>
    <row r="21" spans="3:10" ht="18.75" thickBot="1" x14ac:dyDescent="0.25">
      <c r="C21" s="178" t="str">
        <f>MID(תקציב!E180,6,LEN(תקציב!E180)-5)</f>
        <v>עלות כולל רווח לפני מע"מ</v>
      </c>
      <c r="D21" s="179"/>
      <c r="E21" s="280">
        <f>תקציב!K180</f>
        <v>0</v>
      </c>
      <c r="F21" s="281" t="str">
        <f>תקציב!L180</f>
        <v/>
      </c>
      <c r="H21" s="2"/>
      <c r="I21" s="2"/>
      <c r="J21" s="2"/>
    </row>
    <row r="22" spans="3:10" ht="24.75" customHeight="1" thickTop="1" x14ac:dyDescent="0.2">
      <c r="C22" s="166" t="str">
        <f>תקציב!E199</f>
        <v>מע"מ</v>
      </c>
      <c r="D22" s="180">
        <f>תקציב!I199</f>
        <v>0.17</v>
      </c>
      <c r="E22" s="278">
        <f>תקציב!K182</f>
        <v>0</v>
      </c>
      <c r="F22" s="279" t="str">
        <f>תקציב!L182</f>
        <v/>
      </c>
    </row>
    <row r="23" spans="3:10" ht="21" thickBot="1" x14ac:dyDescent="0.25">
      <c r="C23" s="144" t="str">
        <f>תקציב!E183</f>
        <v>סה"כ עלות הפקה כולל מע"מ</v>
      </c>
      <c r="D23" s="145"/>
      <c r="E23" s="282">
        <f>תקציב!K183</f>
        <v>0</v>
      </c>
      <c r="F23" s="283" t="str">
        <f>תקציב!L183</f>
        <v/>
      </c>
    </row>
    <row r="27" spans="3:10" ht="15" thickBot="1" x14ac:dyDescent="0.25"/>
    <row r="28" spans="3:10" ht="18.75" thickBot="1" x14ac:dyDescent="0.25">
      <c r="C28" s="311" t="s">
        <v>60</v>
      </c>
      <c r="D28" s="148"/>
      <c r="E28" s="148" t="s">
        <v>150</v>
      </c>
      <c r="F28" s="165" t="s">
        <v>64</v>
      </c>
    </row>
    <row r="29" spans="3:10" ht="18" x14ac:dyDescent="0.2">
      <c r="C29" s="319" t="str">
        <f>MID(תקציב!E197,6,LEN(תקציב!E197)-5)</f>
        <v>הוצאות חד-פעמיות</v>
      </c>
      <c r="D29" s="320"/>
      <c r="E29" s="321">
        <f>תקציב!K197</f>
        <v>0</v>
      </c>
      <c r="F29" s="322">
        <f>תקציב!L197</f>
        <v>0</v>
      </c>
    </row>
    <row r="30" spans="3:10" ht="18" x14ac:dyDescent="0.2">
      <c r="C30" s="166" t="str">
        <f>תקציב!E199</f>
        <v>מע"מ</v>
      </c>
      <c r="D30" s="180">
        <f>תקציב!I199</f>
        <v>0.17</v>
      </c>
      <c r="E30" s="278">
        <f>תקציב!K199</f>
        <v>0</v>
      </c>
      <c r="F30" s="279" t="str">
        <f>תקציב!L199</f>
        <v/>
      </c>
    </row>
    <row r="31" spans="3:10" ht="21" thickBot="1" x14ac:dyDescent="0.25">
      <c r="C31" s="144" t="str">
        <f>תקציב!E200</f>
        <v>סה"כ הוצ' חד-פעמיות כולל מע"מ</v>
      </c>
      <c r="D31" s="145"/>
      <c r="E31" s="282">
        <f>תקציב!K200</f>
        <v>0</v>
      </c>
      <c r="F31" s="283" t="str">
        <f>תקציב!L200</f>
        <v/>
      </c>
    </row>
  </sheetData>
  <mergeCells count="4">
    <mergeCell ref="C2:F2"/>
    <mergeCell ref="C3:F3"/>
    <mergeCell ref="H6:J6"/>
    <mergeCell ref="I7:J7"/>
  </mergeCells>
  <conditionalFormatting sqref="C2:F2 J9:J14">
    <cfRule type="containsBlanks" dxfId="14" priority="5">
      <formula>LEN(TRIM(C2))=0</formula>
    </cfRule>
  </conditionalFormatting>
  <conditionalFormatting sqref="C3:F3">
    <cfRule type="containsBlanks" dxfId="13" priority="4">
      <formula>LEN(TRIM(C3))=0</formula>
    </cfRule>
  </conditionalFormatting>
  <conditionalFormatting sqref="I7:J7">
    <cfRule type="containsBlanks" dxfId="12" priority="3">
      <formula>LEN(TRIM(I7))=0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J55"/>
  <sheetViews>
    <sheetView rightToLeft="1" workbookViewId="0">
      <selection activeCell="S14" sqref="S14"/>
    </sheetView>
  </sheetViews>
  <sheetFormatPr defaultColWidth="9" defaultRowHeight="14.25" x14ac:dyDescent="0.2"/>
  <cols>
    <col min="1" max="1" width="16.25" style="6" bestFit="1" customWidth="1"/>
    <col min="2" max="2" width="9" style="6"/>
    <col min="3" max="3" width="12.375" style="6" customWidth="1"/>
    <col min="4" max="4" width="9" style="6"/>
    <col min="5" max="5" width="13.25" style="6" bestFit="1" customWidth="1"/>
    <col min="6" max="6" width="4.375" style="6" customWidth="1"/>
    <col min="7" max="7" width="11.375" style="6" customWidth="1"/>
    <col min="8" max="8" width="3.125" style="6" customWidth="1"/>
    <col min="9" max="9" width="18.25" style="6" customWidth="1"/>
    <col min="10" max="10" width="3.25" style="6" customWidth="1"/>
    <col min="11" max="11" width="13.25" style="6" bestFit="1" customWidth="1"/>
    <col min="12" max="12" width="3.375" style="6" customWidth="1"/>
    <col min="13" max="13" width="15.25" style="6" customWidth="1"/>
    <col min="14" max="14" width="4.25" style="6" customWidth="1"/>
    <col min="15" max="15" width="19.375" style="6" customWidth="1"/>
    <col min="16" max="16" width="3" style="6" customWidth="1"/>
    <col min="17" max="17" width="11.125" style="6" bestFit="1" customWidth="1"/>
    <col min="18" max="18" width="4.125" style="6" customWidth="1"/>
    <col min="19" max="19" width="14.375" style="6" bestFit="1" customWidth="1"/>
    <col min="20" max="20" width="8" style="6" customWidth="1"/>
    <col min="21" max="21" width="11" style="6" bestFit="1" customWidth="1"/>
    <col min="22" max="22" width="9" style="6"/>
    <col min="23" max="23" width="9.375" style="6" bestFit="1" customWidth="1"/>
    <col min="24" max="24" width="9" style="6"/>
    <col min="25" max="25" width="9.375" style="6" bestFit="1" customWidth="1"/>
    <col min="26" max="28" width="9" style="6"/>
    <col min="29" max="29" width="9.375" style="6" bestFit="1" customWidth="1"/>
    <col min="30" max="30" width="9" style="6"/>
    <col min="31" max="31" width="9.375" style="6" bestFit="1" customWidth="1"/>
    <col min="32" max="16384" width="9" style="6"/>
  </cols>
  <sheetData>
    <row r="1" spans="1:36" ht="100.5" thickBot="1" x14ac:dyDescent="0.25">
      <c r="A1" s="1" t="s">
        <v>5</v>
      </c>
      <c r="B1" s="2"/>
      <c r="C1" s="1" t="s">
        <v>6</v>
      </c>
      <c r="D1" s="2"/>
      <c r="E1" s="3" t="s">
        <v>7</v>
      </c>
      <c r="F1" s="2"/>
      <c r="G1" s="4" t="s">
        <v>8</v>
      </c>
      <c r="H1" s="2"/>
      <c r="I1" s="4" t="s">
        <v>9</v>
      </c>
      <c r="J1" s="2"/>
      <c r="K1" s="4" t="s">
        <v>10</v>
      </c>
      <c r="L1" s="2"/>
      <c r="M1" s="5" t="s">
        <v>11</v>
      </c>
      <c r="N1" s="2"/>
      <c r="O1" s="5" t="s">
        <v>12</v>
      </c>
      <c r="P1" s="2"/>
      <c r="Q1" s="4" t="s">
        <v>13</v>
      </c>
      <c r="R1" s="2"/>
      <c r="S1" s="4" t="s">
        <v>14</v>
      </c>
      <c r="U1" s="4" t="s">
        <v>15</v>
      </c>
      <c r="W1" s="7" t="s">
        <v>16</v>
      </c>
      <c r="Y1" s="8" t="s">
        <v>17</v>
      </c>
      <c r="AA1" s="9" t="s">
        <v>18</v>
      </c>
      <c r="AC1" s="9" t="s">
        <v>19</v>
      </c>
      <c r="AE1" s="9" t="s">
        <v>20</v>
      </c>
      <c r="AG1" s="6" t="s">
        <v>223</v>
      </c>
      <c r="AH1" s="205" t="s">
        <v>260</v>
      </c>
      <c r="AJ1" s="9"/>
    </row>
    <row r="2" spans="1:36" ht="15" thickBot="1" x14ac:dyDescent="0.25">
      <c r="A2" s="10" t="s">
        <v>21</v>
      </c>
      <c r="C2" s="10" t="s">
        <v>21</v>
      </c>
      <c r="E2" s="11" t="s">
        <v>22</v>
      </c>
      <c r="G2" s="12" t="s">
        <v>23</v>
      </c>
      <c r="I2" s="12" t="s">
        <v>24</v>
      </c>
      <c r="K2" s="13" t="s">
        <v>21</v>
      </c>
      <c r="M2" s="14" t="s">
        <v>21</v>
      </c>
      <c r="O2" s="7" t="s">
        <v>21</v>
      </c>
      <c r="Q2" s="10" t="s">
        <v>25</v>
      </c>
      <c r="S2" s="15" t="s">
        <v>25</v>
      </c>
      <c r="U2" s="8" t="s">
        <v>24</v>
      </c>
      <c r="W2" s="10" t="s">
        <v>25</v>
      </c>
      <c r="Y2" s="8" t="s">
        <v>25</v>
      </c>
      <c r="AA2" s="8" t="s">
        <v>21</v>
      </c>
      <c r="AC2" s="10" t="s">
        <v>25</v>
      </c>
      <c r="AE2" s="10" t="s">
        <v>25</v>
      </c>
      <c r="AG2" s="6" t="s">
        <v>25</v>
      </c>
      <c r="AH2" s="205" t="s">
        <v>236</v>
      </c>
      <c r="AJ2" s="8" t="s">
        <v>25</v>
      </c>
    </row>
    <row r="3" spans="1:36" ht="15" thickBot="1" x14ac:dyDescent="0.25">
      <c r="A3" s="10" t="s">
        <v>26</v>
      </c>
      <c r="C3" s="10" t="s">
        <v>26</v>
      </c>
      <c r="K3" s="12" t="s">
        <v>23</v>
      </c>
      <c r="M3" s="12" t="s">
        <v>24</v>
      </c>
      <c r="Q3" s="12" t="s">
        <v>21</v>
      </c>
      <c r="U3" s="15" t="s">
        <v>23</v>
      </c>
      <c r="W3" s="13" t="s">
        <v>24</v>
      </c>
      <c r="Y3" s="15" t="s">
        <v>24</v>
      </c>
      <c r="AA3" s="10" t="s">
        <v>24</v>
      </c>
      <c r="AC3" s="15" t="s">
        <v>23</v>
      </c>
      <c r="AE3" s="10" t="s">
        <v>21</v>
      </c>
      <c r="AG3" s="6" t="s">
        <v>21</v>
      </c>
      <c r="AJ3" s="13" t="s">
        <v>21</v>
      </c>
    </row>
    <row r="4" spans="1:36" ht="15" thickBot="1" x14ac:dyDescent="0.25">
      <c r="A4" s="10" t="s">
        <v>24</v>
      </c>
      <c r="C4" s="15" t="s">
        <v>24</v>
      </c>
      <c r="W4" s="12" t="s">
        <v>23</v>
      </c>
      <c r="AA4" s="15" t="s">
        <v>23</v>
      </c>
      <c r="AE4" s="10" t="s">
        <v>24</v>
      </c>
      <c r="AG4" s="6" t="s">
        <v>23</v>
      </c>
      <c r="AJ4" s="10" t="s">
        <v>26</v>
      </c>
    </row>
    <row r="5" spans="1:36" ht="15" thickBot="1" x14ac:dyDescent="0.25">
      <c r="A5" s="12" t="s">
        <v>23</v>
      </c>
      <c r="AE5" s="15" t="s">
        <v>23</v>
      </c>
      <c r="AJ5" s="10" t="s">
        <v>24</v>
      </c>
    </row>
    <row r="6" spans="1:36" ht="15" thickBot="1" x14ac:dyDescent="0.25">
      <c r="AJ6" s="15" t="s">
        <v>23</v>
      </c>
    </row>
    <row r="7" spans="1:36" x14ac:dyDescent="0.2">
      <c r="B7" s="16" t="s">
        <v>27</v>
      </c>
      <c r="C7" s="16" t="s">
        <v>28</v>
      </c>
    </row>
    <row r="8" spans="1:36" x14ac:dyDescent="0.2">
      <c r="A8" s="16" t="s">
        <v>29</v>
      </c>
      <c r="B8" s="17">
        <v>0</v>
      </c>
      <c r="C8" s="17">
        <v>0.05</v>
      </c>
    </row>
    <row r="9" spans="1:36" x14ac:dyDescent="0.2">
      <c r="A9" s="16" t="s">
        <v>30</v>
      </c>
      <c r="B9" s="17">
        <v>0</v>
      </c>
      <c r="C9" s="17">
        <v>0.1</v>
      </c>
    </row>
    <row r="11" spans="1:36" x14ac:dyDescent="0.2">
      <c r="A11" s="6" t="s">
        <v>31</v>
      </c>
      <c r="B11" s="18">
        <v>0.17</v>
      </c>
    </row>
    <row r="13" spans="1:36" x14ac:dyDescent="0.2">
      <c r="A13" s="6" t="s">
        <v>32</v>
      </c>
      <c r="B13" s="18">
        <v>0.05</v>
      </c>
    </row>
    <row r="15" spans="1:36" ht="42.75" x14ac:dyDescent="0.2">
      <c r="A15" s="19" t="s">
        <v>33</v>
      </c>
      <c r="B15" s="20">
        <v>0.8</v>
      </c>
    </row>
    <row r="17" spans="1:2" x14ac:dyDescent="0.2">
      <c r="A17" s="16" t="s">
        <v>34</v>
      </c>
      <c r="B17" s="16" t="s">
        <v>35</v>
      </c>
    </row>
    <row r="18" spans="1:2" x14ac:dyDescent="0.2">
      <c r="A18" s="16" t="s">
        <v>36</v>
      </c>
      <c r="B18" s="16" t="s">
        <v>37</v>
      </c>
    </row>
    <row r="19" spans="1:2" x14ac:dyDescent="0.2">
      <c r="A19" s="16" t="s">
        <v>38</v>
      </c>
      <c r="B19" s="21" t="s">
        <v>39</v>
      </c>
    </row>
    <row r="21" spans="1:2" x14ac:dyDescent="0.2">
      <c r="A21" s="16" t="s">
        <v>40</v>
      </c>
      <c r="B21" s="6" t="s">
        <v>41</v>
      </c>
    </row>
    <row r="22" spans="1:2" x14ac:dyDescent="0.2">
      <c r="A22" s="16" t="s">
        <v>42</v>
      </c>
      <c r="B22" s="16" t="s">
        <v>43</v>
      </c>
    </row>
    <row r="23" spans="1:2" x14ac:dyDescent="0.2">
      <c r="B23" s="16"/>
    </row>
    <row r="24" spans="1:2" x14ac:dyDescent="0.2">
      <c r="A24" s="16" t="s">
        <v>44</v>
      </c>
      <c r="B24" s="16" t="s">
        <v>45</v>
      </c>
    </row>
    <row r="25" spans="1:2" x14ac:dyDescent="0.2">
      <c r="A25" s="16" t="s">
        <v>46</v>
      </c>
      <c r="B25" s="16" t="s">
        <v>47</v>
      </c>
    </row>
    <row r="27" spans="1:2" x14ac:dyDescent="0.2">
      <c r="A27" s="16" t="s">
        <v>48</v>
      </c>
      <c r="B27" s="16" t="s">
        <v>49</v>
      </c>
    </row>
    <row r="28" spans="1:2" x14ac:dyDescent="0.2">
      <c r="A28" s="16" t="s">
        <v>50</v>
      </c>
      <c r="B28" s="16" t="s">
        <v>51</v>
      </c>
    </row>
    <row r="29" spans="1:2" x14ac:dyDescent="0.2">
      <c r="A29" s="16" t="s">
        <v>52</v>
      </c>
      <c r="B29" s="16" t="s">
        <v>53</v>
      </c>
    </row>
    <row r="30" spans="1:2" x14ac:dyDescent="0.2">
      <c r="A30" s="16" t="s">
        <v>54</v>
      </c>
      <c r="B30" s="16" t="s">
        <v>55</v>
      </c>
    </row>
    <row r="31" spans="1:2" x14ac:dyDescent="0.2">
      <c r="B31" s="16" t="s">
        <v>5</v>
      </c>
    </row>
    <row r="32" spans="1:2" x14ac:dyDescent="0.2">
      <c r="B32" s="16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</row>
    <row r="36" spans="1:2" x14ac:dyDescent="0.2">
      <c r="A36"/>
    </row>
    <row r="37" spans="1:2" x14ac:dyDescent="0.2">
      <c r="A37"/>
    </row>
    <row r="38" spans="1:2" x14ac:dyDescent="0.2">
      <c r="A38"/>
    </row>
    <row r="39" spans="1:2" x14ac:dyDescent="0.2">
      <c r="A39"/>
    </row>
    <row r="40" spans="1:2" x14ac:dyDescent="0.2">
      <c r="A40"/>
    </row>
    <row r="41" spans="1:2" x14ac:dyDescent="0.2">
      <c r="A41"/>
    </row>
    <row r="42" spans="1:2" x14ac:dyDescent="0.2">
      <c r="A42"/>
    </row>
    <row r="43" spans="1:2" x14ac:dyDescent="0.2">
      <c r="A43"/>
    </row>
    <row r="44" spans="1:2" x14ac:dyDescent="0.2">
      <c r="A44"/>
    </row>
    <row r="45" spans="1:2" x14ac:dyDescent="0.2">
      <c r="A45"/>
    </row>
    <row r="46" spans="1:2" x14ac:dyDescent="0.2">
      <c r="A46"/>
    </row>
    <row r="47" spans="1:2" x14ac:dyDescent="0.2">
      <c r="A47"/>
    </row>
    <row r="48" spans="1:2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</sheetData>
  <sheetProtection algorithmName="SHA-512" hashValue="+sFph3i0lhVHFtQbRckk7u0P3nnpMwzEBYRtKSsWjMiWNun72S3Qg2H2IE/FZFcpRvVYD/XPCDqRlCCoqTHfSg==" saltValue="flBup7E/ORPFIGsufJcxX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Y538"/>
  <sheetViews>
    <sheetView rightToLeft="1" workbookViewId="0">
      <selection activeCell="I29" sqref="I29"/>
    </sheetView>
  </sheetViews>
  <sheetFormatPr defaultColWidth="9.125" defaultRowHeight="14.25" x14ac:dyDescent="0.2"/>
  <cols>
    <col min="1" max="1" width="4.125" style="32" customWidth="1"/>
    <col min="2" max="2" width="9.125" style="32" customWidth="1"/>
    <col min="3" max="4" width="15" style="119" customWidth="1"/>
    <col min="5" max="5" width="19.875" style="120" bestFit="1" customWidth="1"/>
    <col min="6" max="6" width="27.75" style="121" bestFit="1" customWidth="1"/>
    <col min="7" max="7" width="12.625" style="121" bestFit="1" customWidth="1"/>
    <col min="8" max="8" width="12.25" style="121" bestFit="1" customWidth="1"/>
    <col min="9" max="9" width="16.25" style="121" customWidth="1"/>
    <col min="10" max="10" width="13" style="121" customWidth="1"/>
    <col min="11" max="12" width="17.25" style="122" customWidth="1"/>
    <col min="13" max="13" width="30.25" style="32" bestFit="1" customWidth="1"/>
    <col min="14" max="14" width="9.125" style="32"/>
    <col min="15" max="15" width="10.875" style="32" bestFit="1" customWidth="1"/>
    <col min="16" max="16" width="10.75" style="32" bestFit="1" customWidth="1"/>
    <col min="17" max="17" width="13.625" style="32" bestFit="1" customWidth="1"/>
    <col min="18" max="18" width="26.625" style="32" bestFit="1" customWidth="1"/>
    <col min="19" max="19" width="20.625" style="32" bestFit="1" customWidth="1"/>
    <col min="20" max="16384" width="9.125" style="32"/>
  </cols>
  <sheetData>
    <row r="1" spans="2:20" ht="15.75" thickBot="1" x14ac:dyDescent="0.3">
      <c r="B1" s="28" t="s">
        <v>152</v>
      </c>
      <c r="C1" s="28" t="s">
        <v>153</v>
      </c>
      <c r="D1" s="29" t="s">
        <v>154</v>
      </c>
      <c r="E1" s="30" t="s">
        <v>155</v>
      </c>
      <c r="F1" s="29" t="s">
        <v>60</v>
      </c>
      <c r="G1" s="29" t="s">
        <v>3</v>
      </c>
      <c r="H1" s="29" t="s">
        <v>156</v>
      </c>
      <c r="I1" s="29" t="s">
        <v>157</v>
      </c>
      <c r="J1" s="29" t="s">
        <v>158</v>
      </c>
      <c r="K1" s="31" t="s">
        <v>65</v>
      </c>
      <c r="L1" s="226">
        <v>-5</v>
      </c>
      <c r="O1" s="33" t="s">
        <v>63</v>
      </c>
      <c r="P1" s="34" t="s">
        <v>4</v>
      </c>
      <c r="Q1" s="34" t="s">
        <v>62</v>
      </c>
      <c r="R1" s="34" t="s">
        <v>159</v>
      </c>
      <c r="S1" s="35" t="s">
        <v>160</v>
      </c>
    </row>
    <row r="2" spans="2:20" ht="15" x14ac:dyDescent="0.2">
      <c r="B2" s="32" t="str">
        <f>G2</f>
        <v>תכניות/פרקים</v>
      </c>
      <c r="C2" s="36" t="str">
        <f>'מק"ט'!$C$3&amp;VLOOKUP(G2,'מק"ט'!$D$2:$E$9,2,FALSE)&amp;VLOOKUP(E2,'מק"ט'!$F$2:$G$9,2,FALSE)&amp;D2</f>
        <v>76110109</v>
      </c>
      <c r="D2" s="37" t="s">
        <v>161</v>
      </c>
      <c r="E2" s="38" t="s">
        <v>162</v>
      </c>
      <c r="F2" s="39" t="s">
        <v>69</v>
      </c>
      <c r="G2" s="40" t="s">
        <v>25</v>
      </c>
      <c r="H2" s="41">
        <v>0</v>
      </c>
      <c r="I2" s="41">
        <v>0</v>
      </c>
      <c r="J2" s="41">
        <v>0</v>
      </c>
      <c r="K2" s="41">
        <v>0</v>
      </c>
      <c r="L2" s="227">
        <f>IF(F2=F1,L1,L1+5)</f>
        <v>0</v>
      </c>
      <c r="O2" s="42">
        <f>IFERROR(VLOOKUP(C2,תקציב!$D$22:$J$177,6,0),0)</f>
        <v>0</v>
      </c>
      <c r="P2" s="43">
        <f>IFERROR(VLOOKUP(C2,תקציב!$D$22:$J$177,5,0),0)</f>
        <v>0</v>
      </c>
      <c r="Q2" s="43">
        <f>IF(ISNUMBER(VLOOKUP(C2,תקציב!$D$22:$J$177,3,FALSE)),VLOOKUP(C2,תקציב!$D$22:$J$177,3,FALSE),1)</f>
        <v>1</v>
      </c>
      <c r="R2" s="43">
        <f>IFERROR((P2*Q2),0)</f>
        <v>0</v>
      </c>
      <c r="S2" s="44">
        <f>O2*R2</f>
        <v>0</v>
      </c>
      <c r="T2" s="186">
        <f>IFERROR(VLOOKUP(C2,תקציב!$D$22:$K$177,7,FALSE),0)-S2</f>
        <v>0</v>
      </c>
    </row>
    <row r="3" spans="2:20" ht="15" x14ac:dyDescent="0.2">
      <c r="B3" s="32" t="str">
        <f t="shared" ref="B3:B289" si="0">G3</f>
        <v>ימים</v>
      </c>
      <c r="C3" s="45" t="str">
        <f>'מק"ט'!$C$3&amp;VLOOKUP(G3,'מק"ט'!$D$2:$E$9,2,FALSE)&amp;VLOOKUP(E3,'מק"ט'!$F$2:$G$9,2,FALSE)&amp;D3</f>
        <v>76120109</v>
      </c>
      <c r="D3" s="46" t="s">
        <v>161</v>
      </c>
      <c r="E3" s="47" t="s">
        <v>162</v>
      </c>
      <c r="F3" s="48" t="s">
        <v>69</v>
      </c>
      <c r="G3" s="49" t="s">
        <v>21</v>
      </c>
      <c r="H3" s="50">
        <v>0</v>
      </c>
      <c r="I3" s="50">
        <v>0</v>
      </c>
      <c r="J3" s="50">
        <v>0</v>
      </c>
      <c r="K3" s="50">
        <v>0</v>
      </c>
      <c r="L3" s="227">
        <f>IF(F3=F2,L2,L2+5)</f>
        <v>0</v>
      </c>
      <c r="O3" s="42">
        <f>IFERROR(VLOOKUP(C3,תקציב!$D$22:$J$177,6,0),0)</f>
        <v>0</v>
      </c>
      <c r="P3" s="43">
        <f>IFERROR(VLOOKUP(C3,תקציב!$D$22:$J$177,5,0),0)</f>
        <v>0</v>
      </c>
      <c r="Q3" s="43">
        <f>IF(ISNUMBER(VLOOKUP(C3,תקציב!$D$22:$J$177,3,FALSE)),VLOOKUP(C3,תקציב!$D$22:$J$177,3,FALSE),1)</f>
        <v>1</v>
      </c>
      <c r="R3" s="43">
        <f t="shared" ref="R3:R212" si="1">IFERROR((P3*Q3),0)</f>
        <v>0</v>
      </c>
      <c r="S3" s="44">
        <f t="shared" ref="S3:S212" si="2">O3*R3</f>
        <v>0</v>
      </c>
      <c r="T3" s="186">
        <f>IFERROR(VLOOKUP(C3,תקציב!$D$22:$K$177,7,FALSE),0)-S3</f>
        <v>0</v>
      </c>
    </row>
    <row r="4" spans="2:20" ht="15" x14ac:dyDescent="0.2">
      <c r="B4" s="32" t="str">
        <f t="shared" si="0"/>
        <v>שבועות</v>
      </c>
      <c r="C4" s="45" t="str">
        <f>'מק"ט'!$C$3&amp;VLOOKUP(G4,'מק"ט'!$D$2:$E$9,2,FALSE)&amp;VLOOKUP(E4,'מק"ט'!$F$2:$G$9,2,FALSE)&amp;D4</f>
        <v>76130109</v>
      </c>
      <c r="D4" s="46" t="s">
        <v>161</v>
      </c>
      <c r="E4" s="47" t="s">
        <v>162</v>
      </c>
      <c r="F4" s="48" t="s">
        <v>69</v>
      </c>
      <c r="G4" s="49" t="s">
        <v>26</v>
      </c>
      <c r="H4" s="50">
        <v>0</v>
      </c>
      <c r="I4" s="50">
        <v>0</v>
      </c>
      <c r="J4" s="50">
        <v>0</v>
      </c>
      <c r="K4" s="50">
        <v>0</v>
      </c>
      <c r="L4" s="227">
        <f t="shared" ref="L4:L144" si="3">IF(F4=F3,L3,L3+5)</f>
        <v>0</v>
      </c>
      <c r="O4" s="42"/>
      <c r="P4" s="43"/>
      <c r="Q4" s="43"/>
      <c r="R4" s="43"/>
      <c r="S4" s="44"/>
      <c r="T4" s="186"/>
    </row>
    <row r="5" spans="2:20" ht="15" x14ac:dyDescent="0.2">
      <c r="B5" s="32" t="str">
        <f t="shared" si="0"/>
        <v>חודשים</v>
      </c>
      <c r="C5" s="45" t="str">
        <f>'מק"ט'!$C$3&amp;VLOOKUP(G5,'מק"ט'!$D$2:$E$9,2,FALSE)&amp;VLOOKUP(E5,'מק"ט'!$F$2:$G$9,2,FALSE)&amp;D5</f>
        <v>76140109</v>
      </c>
      <c r="D5" s="46" t="s">
        <v>161</v>
      </c>
      <c r="E5" s="47" t="s">
        <v>162</v>
      </c>
      <c r="F5" s="48" t="s">
        <v>69</v>
      </c>
      <c r="G5" s="49" t="s">
        <v>24</v>
      </c>
      <c r="H5" s="50">
        <v>0</v>
      </c>
      <c r="I5" s="50">
        <v>0</v>
      </c>
      <c r="J5" s="50">
        <v>0</v>
      </c>
      <c r="K5" s="50">
        <v>0</v>
      </c>
      <c r="L5" s="227">
        <f t="shared" si="3"/>
        <v>0</v>
      </c>
      <c r="O5" s="42"/>
      <c r="P5" s="43"/>
      <c r="Q5" s="43"/>
      <c r="R5" s="43"/>
      <c r="S5" s="44"/>
      <c r="T5" s="186"/>
    </row>
    <row r="6" spans="2:20" ht="15" x14ac:dyDescent="0.2">
      <c r="B6" s="32" t="str">
        <f t="shared" si="0"/>
        <v>עונתי גלובלי</v>
      </c>
      <c r="C6" s="45" t="str">
        <f>'מק"ט'!$C$3&amp;VLOOKUP(G6,'מק"ט'!$D$2:$E$9,2,FALSE)&amp;VLOOKUP(E6,'מק"ט'!$F$2:$G$9,2,FALSE)&amp;D6</f>
        <v>76150109</v>
      </c>
      <c r="D6" s="46" t="s">
        <v>161</v>
      </c>
      <c r="E6" s="47" t="s">
        <v>162</v>
      </c>
      <c r="F6" s="48" t="s">
        <v>69</v>
      </c>
      <c r="G6" s="49" t="s">
        <v>23</v>
      </c>
      <c r="H6" s="50">
        <v>0</v>
      </c>
      <c r="I6" s="50">
        <v>0</v>
      </c>
      <c r="J6" s="50">
        <v>0</v>
      </c>
      <c r="K6" s="50">
        <v>0</v>
      </c>
      <c r="L6" s="227">
        <f t="shared" si="3"/>
        <v>0</v>
      </c>
      <c r="O6" s="42"/>
      <c r="P6" s="43"/>
      <c r="Q6" s="43"/>
      <c r="R6" s="43"/>
      <c r="S6" s="44"/>
      <c r="T6" s="186"/>
    </row>
    <row r="7" spans="2:20" ht="15" x14ac:dyDescent="0.2">
      <c r="B7" s="32" t="str">
        <f t="shared" si="0"/>
        <v>תכניות/פרקים</v>
      </c>
      <c r="C7" s="45" t="str">
        <f>'מק"ט'!$C$3&amp;VLOOKUP(G7,'מק"ט'!$D$2:$E$9,2,FALSE)&amp;VLOOKUP(E7,'מק"ט'!$F$2:$G$9,2,FALSE)&amp;D7</f>
        <v>76110111</v>
      </c>
      <c r="D7" s="52">
        <v>11</v>
      </c>
      <c r="E7" s="53" t="s">
        <v>162</v>
      </c>
      <c r="F7" s="54" t="s">
        <v>70</v>
      </c>
      <c r="G7" s="55" t="s">
        <v>25</v>
      </c>
      <c r="H7" s="56"/>
      <c r="I7" s="56"/>
      <c r="J7" s="56"/>
      <c r="K7" s="57"/>
      <c r="L7" s="227">
        <f t="shared" si="3"/>
        <v>5</v>
      </c>
      <c r="O7" s="42">
        <f>IFERROR(VLOOKUP(C7,תקציב!$D$22:$J$177,6,0),0)</f>
        <v>0</v>
      </c>
      <c r="P7" s="43">
        <f>IFERROR(VLOOKUP(C7,תקציב!$D$22:$J$177,5,0),0)</f>
        <v>0</v>
      </c>
      <c r="Q7" s="43">
        <f>IF(ISNUMBER(VLOOKUP(C7,תקציב!$D$22:$J$177,3,FALSE)),VLOOKUP(C7,תקציב!$D$22:$J$177,3,FALSE),1)</f>
        <v>1</v>
      </c>
      <c r="R7" s="43">
        <f t="shared" si="1"/>
        <v>0</v>
      </c>
      <c r="S7" s="44">
        <f t="shared" si="2"/>
        <v>0</v>
      </c>
      <c r="T7" s="186">
        <f>IFERROR(VLOOKUP(C7,תקציב!$D$22:$K$177,7,FALSE),0)-S7</f>
        <v>0</v>
      </c>
    </row>
    <row r="8" spans="2:20" ht="15" x14ac:dyDescent="0.2">
      <c r="B8" s="32" t="str">
        <f t="shared" si="0"/>
        <v>ימים</v>
      </c>
      <c r="C8" s="45" t="str">
        <f>'מק"ט'!$C$3&amp;VLOOKUP(G8,'מק"ט'!$D$2:$E$9,2,FALSE)&amp;VLOOKUP(E8,'מק"ט'!$F$2:$G$9,2,FALSE)&amp;D8</f>
        <v>76120111</v>
      </c>
      <c r="D8" s="52">
        <v>11</v>
      </c>
      <c r="E8" s="53" t="s">
        <v>162</v>
      </c>
      <c r="F8" s="54" t="s">
        <v>70</v>
      </c>
      <c r="G8" s="55" t="s">
        <v>21</v>
      </c>
      <c r="H8" s="56"/>
      <c r="I8" s="56"/>
      <c r="J8" s="56"/>
      <c r="K8" s="57"/>
      <c r="L8" s="227">
        <f t="shared" si="3"/>
        <v>5</v>
      </c>
      <c r="O8" s="42">
        <f>IFERROR(VLOOKUP(C8,תקציב!$D$22:$J$177,6,0),0)</f>
        <v>0</v>
      </c>
      <c r="P8" s="43">
        <f>IFERROR(VLOOKUP(C8,תקציב!$D$22:$J$177,5,0),0)</f>
        <v>0</v>
      </c>
      <c r="Q8" s="43">
        <f>IF(ISNUMBER(VLOOKUP(C8,תקציב!$D$22:$J$177,3,FALSE)),VLOOKUP(C8,תקציב!$D$22:$J$177,3,FALSE),1)</f>
        <v>1</v>
      </c>
      <c r="R8" s="43">
        <f t="shared" si="1"/>
        <v>0</v>
      </c>
      <c r="S8" s="44">
        <f t="shared" si="2"/>
        <v>0</v>
      </c>
      <c r="T8" s="186">
        <f>IFERROR(VLOOKUP(C8,תקציב!$D$22:$K$177,7,FALSE),0)-S8</f>
        <v>0</v>
      </c>
    </row>
    <row r="9" spans="2:20" ht="15" x14ac:dyDescent="0.2">
      <c r="B9" s="32" t="str">
        <f t="shared" si="0"/>
        <v>שבועות</v>
      </c>
      <c r="C9" s="45" t="str">
        <f>'מק"ט'!$C$3&amp;VLOOKUP(G9,'מק"ט'!$D$2:$E$9,2,FALSE)&amp;VLOOKUP(E9,'מק"ט'!$F$2:$G$9,2,FALSE)&amp;D9</f>
        <v>76130111</v>
      </c>
      <c r="D9" s="52">
        <v>11</v>
      </c>
      <c r="E9" s="53" t="s">
        <v>162</v>
      </c>
      <c r="F9" s="54" t="s">
        <v>70</v>
      </c>
      <c r="G9" s="55" t="s">
        <v>26</v>
      </c>
      <c r="H9" s="56"/>
      <c r="I9" s="56"/>
      <c r="J9" s="56"/>
      <c r="K9" s="57"/>
      <c r="L9" s="227">
        <f t="shared" si="3"/>
        <v>5</v>
      </c>
      <c r="O9" s="42"/>
      <c r="P9" s="43"/>
      <c r="Q9" s="43"/>
      <c r="R9" s="43"/>
      <c r="S9" s="44"/>
      <c r="T9" s="186"/>
    </row>
    <row r="10" spans="2:20" ht="15" x14ac:dyDescent="0.2">
      <c r="B10" s="32" t="str">
        <f t="shared" si="0"/>
        <v>חודשים</v>
      </c>
      <c r="C10" s="45" t="str">
        <f>'מק"ט'!$C$3&amp;VLOOKUP(G10,'מק"ט'!$D$2:$E$9,2,FALSE)&amp;VLOOKUP(E10,'מק"ט'!$F$2:$G$9,2,FALSE)&amp;D10</f>
        <v>76140111</v>
      </c>
      <c r="D10" s="52">
        <v>11</v>
      </c>
      <c r="E10" s="53" t="s">
        <v>162</v>
      </c>
      <c r="F10" s="54" t="s">
        <v>70</v>
      </c>
      <c r="G10" s="55" t="s">
        <v>24</v>
      </c>
      <c r="H10" s="56"/>
      <c r="I10" s="56"/>
      <c r="J10" s="56"/>
      <c r="K10" s="57"/>
      <c r="L10" s="227">
        <f t="shared" si="3"/>
        <v>5</v>
      </c>
      <c r="O10" s="42"/>
      <c r="P10" s="43"/>
      <c r="Q10" s="43"/>
      <c r="R10" s="43"/>
      <c r="S10" s="44"/>
      <c r="T10" s="186"/>
    </row>
    <row r="11" spans="2:20" ht="15" x14ac:dyDescent="0.2">
      <c r="B11" s="32" t="str">
        <f t="shared" si="0"/>
        <v>עונתי גלובלי</v>
      </c>
      <c r="C11" s="45" t="str">
        <f>'מק"ט'!$C$3&amp;VLOOKUP(G11,'מק"ט'!$D$2:$E$9,2,FALSE)&amp;VLOOKUP(E11,'מק"ט'!$F$2:$G$9,2,FALSE)&amp;D11</f>
        <v>76150111</v>
      </c>
      <c r="D11" s="52">
        <v>11</v>
      </c>
      <c r="E11" s="53" t="s">
        <v>162</v>
      </c>
      <c r="F11" s="54" t="s">
        <v>70</v>
      </c>
      <c r="G11" s="55" t="s">
        <v>23</v>
      </c>
      <c r="H11" s="56"/>
      <c r="I11" s="56"/>
      <c r="J11" s="56"/>
      <c r="K11" s="57"/>
      <c r="L11" s="227">
        <f t="shared" si="3"/>
        <v>5</v>
      </c>
      <c r="O11" s="42"/>
      <c r="P11" s="43"/>
      <c r="Q11" s="43"/>
      <c r="R11" s="43"/>
      <c r="S11" s="44"/>
      <c r="T11" s="186"/>
    </row>
    <row r="12" spans="2:20" ht="15" x14ac:dyDescent="0.2">
      <c r="B12" s="65" t="str">
        <f t="shared" si="0"/>
        <v>תכניות/פרקים</v>
      </c>
      <c r="C12" s="45" t="str">
        <f>'מק"ט'!$C$3&amp;VLOOKUP(G12,'מק"ט'!$D$2:$E$9,2,FALSE)&amp;VLOOKUP(E12,'מק"ט'!$F$2:$G$9,2,FALSE)&amp;D12</f>
        <v>76110101</v>
      </c>
      <c r="D12" s="58" t="s">
        <v>167</v>
      </c>
      <c r="E12" s="47" t="s">
        <v>162</v>
      </c>
      <c r="F12" s="59" t="s">
        <v>16</v>
      </c>
      <c r="G12" s="49" t="s">
        <v>25</v>
      </c>
      <c r="H12" s="50"/>
      <c r="I12" s="50"/>
      <c r="J12" s="50"/>
      <c r="K12" s="51"/>
      <c r="L12" s="227">
        <f t="shared" si="3"/>
        <v>10</v>
      </c>
      <c r="O12" s="42">
        <f>IFERROR(VLOOKUP(C12,תקציב!$D$22:$J$177,6,0),0)</f>
        <v>0</v>
      </c>
      <c r="P12" s="43">
        <f>IFERROR(VLOOKUP(C12,תקציב!$D$22:$J$177,5,0),0)</f>
        <v>0</v>
      </c>
      <c r="Q12" s="43">
        <f>IF(ISNUMBER(VLOOKUP(C12,תקציב!$D$22:$J$177,3,FALSE)),VLOOKUP(C12,תקציב!$D$22:$J$177,3,FALSE),1)</f>
        <v>1</v>
      </c>
      <c r="R12" s="43">
        <f t="shared" ref="R12:R13" si="4">IFERROR((P12*Q12),0)</f>
        <v>0</v>
      </c>
      <c r="S12" s="44">
        <f t="shared" ref="S12:S13" si="5">O12*R12</f>
        <v>0</v>
      </c>
      <c r="T12" s="186">
        <f>IFERROR(VLOOKUP(C12,תקציב!$D$22:$K$177,7,FALSE),0)-S12</f>
        <v>0</v>
      </c>
    </row>
    <row r="13" spans="2:20" ht="15" x14ac:dyDescent="0.2">
      <c r="B13" s="65" t="str">
        <f t="shared" si="0"/>
        <v>ימים</v>
      </c>
      <c r="C13" s="45" t="str">
        <f>'מק"ט'!$C$3&amp;VLOOKUP(G13,'מק"ט'!$D$2:$E$9,2,FALSE)&amp;VLOOKUP(E13,'מק"ט'!$F$2:$G$9,2,FALSE)&amp;D13</f>
        <v>76120101</v>
      </c>
      <c r="D13" s="58" t="s">
        <v>167</v>
      </c>
      <c r="E13" s="47" t="s">
        <v>162</v>
      </c>
      <c r="F13" s="59" t="s">
        <v>16</v>
      </c>
      <c r="G13" s="49" t="s">
        <v>21</v>
      </c>
      <c r="H13" s="50"/>
      <c r="I13" s="50"/>
      <c r="J13" s="50"/>
      <c r="K13" s="51"/>
      <c r="L13" s="227">
        <f t="shared" si="3"/>
        <v>10</v>
      </c>
      <c r="O13" s="42">
        <f>IFERROR(VLOOKUP(C13,תקציב!$D$22:$J$177,6,0),0)</f>
        <v>0</v>
      </c>
      <c r="P13" s="43">
        <f>IFERROR(VLOOKUP(C13,תקציב!$D$22:$J$177,5,0),0)</f>
        <v>0</v>
      </c>
      <c r="Q13" s="43">
        <f>IF(ISNUMBER(VLOOKUP(C13,תקציב!$D$22:$J$177,3,FALSE)),VLOOKUP(C13,תקציב!$D$22:$J$177,3,FALSE),1)</f>
        <v>1</v>
      </c>
      <c r="R13" s="43">
        <f t="shared" si="4"/>
        <v>0</v>
      </c>
      <c r="S13" s="44">
        <f t="shared" si="5"/>
        <v>0</v>
      </c>
      <c r="T13" s="186">
        <f>IFERROR(VLOOKUP(C13,תקציב!$D$22:$K$177,7,FALSE),0)-S13</f>
        <v>0</v>
      </c>
    </row>
    <row r="14" spans="2:20" ht="15" x14ac:dyDescent="0.2">
      <c r="B14" s="65" t="str">
        <f t="shared" si="0"/>
        <v>שבועות</v>
      </c>
      <c r="C14" s="45" t="str">
        <f>'מק"ט'!$C$3&amp;VLOOKUP(G14,'מק"ט'!$D$2:$E$9,2,FALSE)&amp;VLOOKUP(E14,'מק"ט'!$F$2:$G$9,2,FALSE)&amp;D14</f>
        <v>76130101</v>
      </c>
      <c r="D14" s="58" t="s">
        <v>167</v>
      </c>
      <c r="E14" s="47" t="s">
        <v>162</v>
      </c>
      <c r="F14" s="59" t="s">
        <v>16</v>
      </c>
      <c r="G14" s="49" t="s">
        <v>26</v>
      </c>
      <c r="H14" s="50"/>
      <c r="I14" s="50"/>
      <c r="J14" s="50"/>
      <c r="K14" s="51"/>
      <c r="L14" s="227">
        <f t="shared" si="3"/>
        <v>10</v>
      </c>
      <c r="O14" s="42"/>
      <c r="P14" s="43"/>
      <c r="Q14" s="43"/>
      <c r="R14" s="43"/>
      <c r="S14" s="44"/>
      <c r="T14" s="186"/>
    </row>
    <row r="15" spans="2:20" ht="15" x14ac:dyDescent="0.2">
      <c r="B15" s="65" t="str">
        <f t="shared" si="0"/>
        <v>חודשים</v>
      </c>
      <c r="C15" s="45" t="str">
        <f>'מק"ט'!$C$3&amp;VLOOKUP(G15,'מק"ט'!$D$2:$E$9,2,FALSE)&amp;VLOOKUP(E15,'מק"ט'!$F$2:$G$9,2,FALSE)&amp;D15</f>
        <v>76140101</v>
      </c>
      <c r="D15" s="58" t="s">
        <v>167</v>
      </c>
      <c r="E15" s="47" t="s">
        <v>162</v>
      </c>
      <c r="F15" s="59" t="s">
        <v>16</v>
      </c>
      <c r="G15" s="49" t="s">
        <v>24</v>
      </c>
      <c r="H15" s="50"/>
      <c r="I15" s="50"/>
      <c r="J15" s="50"/>
      <c r="K15" s="51"/>
      <c r="L15" s="227">
        <f t="shared" si="3"/>
        <v>10</v>
      </c>
      <c r="O15" s="42"/>
      <c r="P15" s="43"/>
      <c r="Q15" s="43"/>
      <c r="R15" s="43"/>
      <c r="S15" s="44"/>
      <c r="T15" s="186"/>
    </row>
    <row r="16" spans="2:20" ht="15" x14ac:dyDescent="0.2">
      <c r="B16" s="65" t="str">
        <f t="shared" si="0"/>
        <v>עונתי גלובלי</v>
      </c>
      <c r="C16" s="45" t="str">
        <f>'מק"ט'!$C$3&amp;VLOOKUP(G16,'מק"ט'!$D$2:$E$9,2,FALSE)&amp;VLOOKUP(E16,'מק"ט'!$F$2:$G$9,2,FALSE)&amp;D16</f>
        <v>76150101</v>
      </c>
      <c r="D16" s="58" t="s">
        <v>167</v>
      </c>
      <c r="E16" s="47" t="s">
        <v>162</v>
      </c>
      <c r="F16" s="59" t="s">
        <v>16</v>
      </c>
      <c r="G16" s="49" t="s">
        <v>23</v>
      </c>
      <c r="H16" s="50"/>
      <c r="I16" s="50"/>
      <c r="J16" s="50"/>
      <c r="K16" s="51"/>
      <c r="L16" s="227">
        <f t="shared" si="3"/>
        <v>10</v>
      </c>
      <c r="O16" s="42"/>
      <c r="P16" s="43"/>
      <c r="Q16" s="43"/>
      <c r="R16" s="43"/>
      <c r="S16" s="44"/>
      <c r="T16" s="186"/>
    </row>
    <row r="17" spans="2:20" ht="14.25" customHeight="1" x14ac:dyDescent="0.2">
      <c r="B17" s="65" t="str">
        <f t="shared" si="0"/>
        <v>תכניות/פרקים</v>
      </c>
      <c r="C17" s="45" t="str">
        <f>'מק"ט'!$C$3&amp;VLOOKUP(G17,'מק"ט'!$D$2:$E$9,2,FALSE)&amp;VLOOKUP(E17,'מק"ט'!$F$2:$G$9,2,FALSE)&amp;D17</f>
        <v>76110102</v>
      </c>
      <c r="D17" s="58" t="s">
        <v>163</v>
      </c>
      <c r="E17" s="47" t="s">
        <v>162</v>
      </c>
      <c r="F17" s="59" t="s">
        <v>71</v>
      </c>
      <c r="G17" s="55" t="s">
        <v>25</v>
      </c>
      <c r="H17" s="50"/>
      <c r="I17" s="50"/>
      <c r="J17" s="50"/>
      <c r="K17" s="51"/>
      <c r="L17" s="227">
        <f t="shared" si="3"/>
        <v>15</v>
      </c>
      <c r="O17" s="42">
        <f>IFERROR(VLOOKUP(C17,תקציב!$D$22:$J$177,6,0),0)</f>
        <v>0</v>
      </c>
      <c r="P17" s="43">
        <f>IFERROR(VLOOKUP(C17,תקציב!$D$22:$J$177,5,0),0)</f>
        <v>0</v>
      </c>
      <c r="Q17" s="43">
        <f>IF(ISNUMBER(VLOOKUP(C17,תקציב!$D$22:$J$177,3,FALSE)),VLOOKUP(C17,תקציב!$D$22:$J$177,3,FALSE),1)</f>
        <v>1</v>
      </c>
      <c r="R17" s="43">
        <f t="shared" si="1"/>
        <v>0</v>
      </c>
      <c r="S17" s="44">
        <f t="shared" si="2"/>
        <v>0</v>
      </c>
      <c r="T17" s="186">
        <f>IFERROR(VLOOKUP(C17,תקציב!$D$22:$K$177,7,FALSE),0)-S17</f>
        <v>0</v>
      </c>
    </row>
    <row r="18" spans="2:20" ht="14.25" customHeight="1" x14ac:dyDescent="0.2">
      <c r="B18" s="65" t="str">
        <f t="shared" si="0"/>
        <v>ימים</v>
      </c>
      <c r="C18" s="45" t="str">
        <f>'מק"ט'!$C$3&amp;VLOOKUP(G18,'מק"ט'!$D$2:$E$9,2,FALSE)&amp;VLOOKUP(E18,'מק"ט'!$F$2:$G$9,2,FALSE)&amp;D18</f>
        <v>76120102</v>
      </c>
      <c r="D18" s="58" t="s">
        <v>163</v>
      </c>
      <c r="E18" s="47" t="s">
        <v>162</v>
      </c>
      <c r="F18" s="59" t="s">
        <v>71</v>
      </c>
      <c r="G18" s="55" t="s">
        <v>21</v>
      </c>
      <c r="H18" s="50"/>
      <c r="I18" s="50"/>
      <c r="J18" s="50"/>
      <c r="K18" s="51"/>
      <c r="L18" s="227">
        <f t="shared" si="3"/>
        <v>15</v>
      </c>
      <c r="O18" s="42">
        <f>IFERROR(VLOOKUP(C18,תקציב!$D$22:$J$177,6,0),0)</f>
        <v>0</v>
      </c>
      <c r="P18" s="43">
        <f>IFERROR(VLOOKUP(C18,תקציב!$D$22:$J$177,5,0),0)</f>
        <v>0</v>
      </c>
      <c r="Q18" s="43">
        <f>IF(ISNUMBER(VLOOKUP(C18,תקציב!$D$22:$J$177,3,FALSE)),VLOOKUP(C18,תקציב!$D$22:$J$177,3,FALSE),1)</f>
        <v>1</v>
      </c>
      <c r="R18" s="43">
        <f t="shared" si="1"/>
        <v>0</v>
      </c>
      <c r="S18" s="44">
        <f t="shared" si="2"/>
        <v>0</v>
      </c>
      <c r="T18" s="186">
        <f>IFERROR(VLOOKUP(C18,תקציב!$D$22:$K$177,7,FALSE),0)-S18</f>
        <v>0</v>
      </c>
    </row>
    <row r="19" spans="2:20" ht="14.25" customHeight="1" x14ac:dyDescent="0.2">
      <c r="B19" s="65" t="str">
        <f t="shared" si="0"/>
        <v>שבועות</v>
      </c>
      <c r="C19" s="45" t="str">
        <f>'מק"ט'!$C$3&amp;VLOOKUP(G19,'מק"ט'!$D$2:$E$9,2,FALSE)&amp;VLOOKUP(E19,'מק"ט'!$F$2:$G$9,2,FALSE)&amp;D19</f>
        <v>76130102</v>
      </c>
      <c r="D19" s="58" t="s">
        <v>163</v>
      </c>
      <c r="E19" s="47" t="s">
        <v>162</v>
      </c>
      <c r="F19" s="59" t="s">
        <v>71</v>
      </c>
      <c r="G19" s="55" t="s">
        <v>26</v>
      </c>
      <c r="H19" s="50"/>
      <c r="I19" s="50"/>
      <c r="J19" s="50"/>
      <c r="K19" s="51"/>
      <c r="L19" s="227">
        <f t="shared" si="3"/>
        <v>15</v>
      </c>
      <c r="O19" s="42"/>
      <c r="P19" s="43"/>
      <c r="Q19" s="43"/>
      <c r="R19" s="43"/>
      <c r="S19" s="44"/>
      <c r="T19" s="186"/>
    </row>
    <row r="20" spans="2:20" ht="14.25" customHeight="1" x14ac:dyDescent="0.2">
      <c r="B20" s="65" t="str">
        <f t="shared" si="0"/>
        <v>חודשים</v>
      </c>
      <c r="C20" s="45" t="str">
        <f>'מק"ט'!$C$3&amp;VLOOKUP(G20,'מק"ט'!$D$2:$E$9,2,FALSE)&amp;VLOOKUP(E20,'מק"ט'!$F$2:$G$9,2,FALSE)&amp;D20</f>
        <v>76140102</v>
      </c>
      <c r="D20" s="58" t="s">
        <v>163</v>
      </c>
      <c r="E20" s="47" t="s">
        <v>162</v>
      </c>
      <c r="F20" s="59" t="s">
        <v>71</v>
      </c>
      <c r="G20" s="55" t="s">
        <v>24</v>
      </c>
      <c r="H20" s="50"/>
      <c r="I20" s="50"/>
      <c r="J20" s="50"/>
      <c r="K20" s="51"/>
      <c r="L20" s="227">
        <f t="shared" si="3"/>
        <v>15</v>
      </c>
      <c r="O20" s="42"/>
      <c r="P20" s="43"/>
      <c r="Q20" s="43"/>
      <c r="R20" s="43"/>
      <c r="S20" s="44"/>
      <c r="T20" s="186"/>
    </row>
    <row r="21" spans="2:20" ht="14.25" customHeight="1" x14ac:dyDescent="0.2">
      <c r="B21" s="65" t="str">
        <f t="shared" si="0"/>
        <v>עונתי גלובלי</v>
      </c>
      <c r="C21" s="45" t="str">
        <f>'מק"ט'!$C$3&amp;VLOOKUP(G21,'מק"ט'!$D$2:$E$9,2,FALSE)&amp;VLOOKUP(E21,'מק"ט'!$F$2:$G$9,2,FALSE)&amp;D21</f>
        <v>76150102</v>
      </c>
      <c r="D21" s="58" t="s">
        <v>163</v>
      </c>
      <c r="E21" s="47" t="s">
        <v>162</v>
      </c>
      <c r="F21" s="59" t="s">
        <v>71</v>
      </c>
      <c r="G21" s="55" t="s">
        <v>23</v>
      </c>
      <c r="H21" s="50"/>
      <c r="I21" s="50"/>
      <c r="J21" s="50"/>
      <c r="K21" s="51"/>
      <c r="L21" s="227">
        <f t="shared" si="3"/>
        <v>15</v>
      </c>
      <c r="O21" s="42"/>
      <c r="P21" s="43"/>
      <c r="Q21" s="43"/>
      <c r="R21" s="43"/>
      <c r="S21" s="44"/>
      <c r="T21" s="186"/>
    </row>
    <row r="22" spans="2:20" ht="15" customHeight="1" x14ac:dyDescent="0.2">
      <c r="B22" s="32" t="str">
        <f t="shared" si="0"/>
        <v>תכניות/פרקים</v>
      </c>
      <c r="C22" s="45" t="str">
        <f>'מק"ט'!$C$3&amp;VLOOKUP(G22,'מק"ט'!$D$2:$E$9,2,FALSE)&amp;VLOOKUP(E22,'מק"ט'!$F$2:$G$9,2,FALSE)&amp;D22</f>
        <v>76110103</v>
      </c>
      <c r="D22" s="60" t="s">
        <v>164</v>
      </c>
      <c r="E22" s="53" t="s">
        <v>162</v>
      </c>
      <c r="F22" s="54" t="s">
        <v>72</v>
      </c>
      <c r="G22" s="55" t="s">
        <v>25</v>
      </c>
      <c r="H22" s="56"/>
      <c r="I22" s="56"/>
      <c r="J22" s="56"/>
      <c r="K22" s="57"/>
      <c r="L22" s="227">
        <f t="shared" si="3"/>
        <v>20</v>
      </c>
      <c r="M22" s="61"/>
      <c r="O22" s="42">
        <f>IFERROR(VLOOKUP(C22,תקציב!$D$22:$J$177,6,0),0)</f>
        <v>0</v>
      </c>
      <c r="P22" s="43">
        <f>IFERROR(VLOOKUP(C22,תקציב!$D$22:$J$177,5,0),0)</f>
        <v>0</v>
      </c>
      <c r="Q22" s="43">
        <f>IF(ISNUMBER(VLOOKUP(C22,תקציב!$D$22:$J$177,3,FALSE)),VLOOKUP(C22,תקציב!$D$22:$J$177,3,FALSE),1)</f>
        <v>1</v>
      </c>
      <c r="R22" s="43">
        <f t="shared" si="1"/>
        <v>0</v>
      </c>
      <c r="S22" s="44">
        <f t="shared" si="2"/>
        <v>0</v>
      </c>
      <c r="T22" s="186">
        <f>IFERROR(VLOOKUP(C22,תקציב!$D$22:$K$177,7,FALSE),0)-S22</f>
        <v>0</v>
      </c>
    </row>
    <row r="23" spans="2:20" ht="15" customHeight="1" x14ac:dyDescent="0.2">
      <c r="B23" s="32" t="str">
        <f t="shared" si="0"/>
        <v>ימים</v>
      </c>
      <c r="C23" s="45" t="str">
        <f>'מק"ט'!$C$3&amp;VLOOKUP(G23,'מק"ט'!$D$2:$E$9,2,FALSE)&amp;VLOOKUP(E23,'מק"ט'!$F$2:$G$9,2,FALSE)&amp;D23</f>
        <v>76120103</v>
      </c>
      <c r="D23" s="60" t="s">
        <v>164</v>
      </c>
      <c r="E23" s="53" t="s">
        <v>162</v>
      </c>
      <c r="F23" s="54" t="s">
        <v>72</v>
      </c>
      <c r="G23" s="55" t="s">
        <v>21</v>
      </c>
      <c r="H23" s="56"/>
      <c r="I23" s="56"/>
      <c r="J23" s="56"/>
      <c r="K23" s="57"/>
      <c r="L23" s="227">
        <f t="shared" si="3"/>
        <v>20</v>
      </c>
      <c r="M23" s="61"/>
      <c r="O23" s="42">
        <f>IFERROR(VLOOKUP(C23,תקציב!$D$22:$J$177,6,0),0)</f>
        <v>0</v>
      </c>
      <c r="P23" s="43">
        <f>IFERROR(VLOOKUP(C23,תקציב!$D$22:$J$177,5,0),0)</f>
        <v>0</v>
      </c>
      <c r="Q23" s="43">
        <f>IF(ISNUMBER(VLOOKUP(C23,תקציב!$D$22:$J$177,3,FALSE)),VLOOKUP(C23,תקציב!$D$22:$J$177,3,FALSE),1)</f>
        <v>1</v>
      </c>
      <c r="R23" s="43">
        <f t="shared" si="1"/>
        <v>0</v>
      </c>
      <c r="S23" s="44">
        <f t="shared" si="2"/>
        <v>0</v>
      </c>
      <c r="T23" s="186">
        <f>IFERROR(VLOOKUP(C23,תקציב!$D$22:$K$177,7,FALSE),0)-S23</f>
        <v>0</v>
      </c>
    </row>
    <row r="24" spans="2:20" ht="15" customHeight="1" x14ac:dyDescent="0.2">
      <c r="B24" s="32" t="str">
        <f t="shared" ref="B24:B26" si="6">G24</f>
        <v>שבועות</v>
      </c>
      <c r="C24" s="45" t="str">
        <f>'מק"ט'!$C$3&amp;VLOOKUP(G24,'מק"ט'!$D$2:$E$9,2,FALSE)&amp;VLOOKUP(E24,'מק"ט'!$F$2:$G$9,2,FALSE)&amp;D24</f>
        <v>76130103</v>
      </c>
      <c r="D24" s="60" t="s">
        <v>164</v>
      </c>
      <c r="E24" s="53" t="s">
        <v>162</v>
      </c>
      <c r="F24" s="54" t="s">
        <v>72</v>
      </c>
      <c r="G24" s="55" t="s">
        <v>26</v>
      </c>
      <c r="H24" s="56"/>
      <c r="I24" s="56"/>
      <c r="J24" s="56"/>
      <c r="K24" s="57"/>
      <c r="L24" s="227">
        <f t="shared" si="3"/>
        <v>20</v>
      </c>
      <c r="M24" s="61"/>
      <c r="O24" s="42"/>
      <c r="P24" s="43"/>
      <c r="Q24" s="43"/>
      <c r="R24" s="43"/>
      <c r="S24" s="44"/>
      <c r="T24" s="186"/>
    </row>
    <row r="25" spans="2:20" ht="15" customHeight="1" x14ac:dyDescent="0.2">
      <c r="B25" s="32" t="str">
        <f t="shared" si="6"/>
        <v>חודשים</v>
      </c>
      <c r="C25" s="45" t="str">
        <f>'מק"ט'!$C$3&amp;VLOOKUP(G25,'מק"ט'!$D$2:$E$9,2,FALSE)&amp;VLOOKUP(E25,'מק"ט'!$F$2:$G$9,2,FALSE)&amp;D25</f>
        <v>76140103</v>
      </c>
      <c r="D25" s="60" t="s">
        <v>164</v>
      </c>
      <c r="E25" s="53" t="s">
        <v>162</v>
      </c>
      <c r="F25" s="54" t="s">
        <v>72</v>
      </c>
      <c r="G25" s="55" t="s">
        <v>24</v>
      </c>
      <c r="H25" s="56"/>
      <c r="I25" s="56"/>
      <c r="J25" s="56"/>
      <c r="K25" s="57"/>
      <c r="L25" s="227">
        <f t="shared" si="3"/>
        <v>20</v>
      </c>
      <c r="M25" s="61"/>
      <c r="O25" s="42"/>
      <c r="P25" s="43"/>
      <c r="Q25" s="43"/>
      <c r="R25" s="43"/>
      <c r="S25" s="44"/>
      <c r="T25" s="186"/>
    </row>
    <row r="26" spans="2:20" ht="15" customHeight="1" x14ac:dyDescent="0.2">
      <c r="B26" s="32" t="str">
        <f t="shared" si="6"/>
        <v>עונתי גלובלי</v>
      </c>
      <c r="C26" s="45" t="str">
        <f>'מק"ט'!$C$3&amp;VLOOKUP(G26,'מק"ט'!$D$2:$E$9,2,FALSE)&amp;VLOOKUP(E26,'מק"ט'!$F$2:$G$9,2,FALSE)&amp;D26</f>
        <v>76150103</v>
      </c>
      <c r="D26" s="60" t="s">
        <v>164</v>
      </c>
      <c r="E26" s="53" t="s">
        <v>162</v>
      </c>
      <c r="F26" s="54" t="s">
        <v>72</v>
      </c>
      <c r="G26" s="55" t="s">
        <v>23</v>
      </c>
      <c r="H26" s="56"/>
      <c r="I26" s="56"/>
      <c r="J26" s="56"/>
      <c r="K26" s="57"/>
      <c r="L26" s="227">
        <f t="shared" si="3"/>
        <v>20</v>
      </c>
      <c r="M26" s="61"/>
      <c r="O26" s="42"/>
      <c r="P26" s="43"/>
      <c r="Q26" s="43"/>
      <c r="R26" s="43"/>
      <c r="S26" s="44"/>
      <c r="T26" s="186"/>
    </row>
    <row r="27" spans="2:20" ht="15" customHeight="1" x14ac:dyDescent="0.2">
      <c r="B27" s="32" t="str">
        <f t="shared" si="0"/>
        <v>תכניות/פרקים</v>
      </c>
      <c r="C27" s="45" t="str">
        <f>'מק"ט'!$C$3&amp;VLOOKUP(G27,'מק"ט'!$D$2:$E$9,2,FALSE)&amp;VLOOKUP(E27,'מק"ט'!$F$2:$G$9,2,FALSE)&amp;D27</f>
        <v>76110104</v>
      </c>
      <c r="D27" s="58" t="s">
        <v>165</v>
      </c>
      <c r="E27" s="47" t="s">
        <v>162</v>
      </c>
      <c r="F27" s="59" t="s">
        <v>73</v>
      </c>
      <c r="G27" s="49" t="s">
        <v>25</v>
      </c>
      <c r="H27" s="50"/>
      <c r="I27" s="50"/>
      <c r="J27" s="50"/>
      <c r="K27" s="51"/>
      <c r="L27" s="227">
        <f t="shared" si="3"/>
        <v>25</v>
      </c>
      <c r="M27" s="61"/>
      <c r="O27" s="42">
        <f>IFERROR(VLOOKUP(C27,תקציב!$D$22:$J$177,6,0),0)</f>
        <v>0</v>
      </c>
      <c r="P27" s="43">
        <f>IFERROR(VLOOKUP(C27,תקציב!$D$22:$J$177,5,0),0)</f>
        <v>0</v>
      </c>
      <c r="Q27" s="43">
        <f>IF(ISNUMBER(VLOOKUP(C27,תקציב!$D$22:$J$177,3,FALSE)),VLOOKUP(C27,תקציב!$D$22:$J$177,3,FALSE),1)</f>
        <v>1</v>
      </c>
      <c r="R27" s="43">
        <f t="shared" si="1"/>
        <v>0</v>
      </c>
      <c r="S27" s="44">
        <f t="shared" si="2"/>
        <v>0</v>
      </c>
      <c r="T27" s="186">
        <f>IFERROR(VLOOKUP(C27,תקציב!$D$22:$K$177,7,FALSE),0)-S27</f>
        <v>0</v>
      </c>
    </row>
    <row r="28" spans="2:20" ht="15" customHeight="1" x14ac:dyDescent="0.2">
      <c r="B28" s="32" t="str">
        <f t="shared" si="0"/>
        <v>ימים</v>
      </c>
      <c r="C28" s="45" t="str">
        <f>'מק"ט'!$C$3&amp;VLOOKUP(G28,'מק"ט'!$D$2:$E$9,2,FALSE)&amp;VLOOKUP(E28,'מק"ט'!$F$2:$G$9,2,FALSE)&amp;D28</f>
        <v>76120104</v>
      </c>
      <c r="D28" s="58" t="s">
        <v>165</v>
      </c>
      <c r="E28" s="47" t="s">
        <v>162</v>
      </c>
      <c r="F28" s="59" t="s">
        <v>73</v>
      </c>
      <c r="G28" s="49" t="s">
        <v>21</v>
      </c>
      <c r="H28" s="50"/>
      <c r="I28" s="50"/>
      <c r="J28" s="50"/>
      <c r="K28" s="51"/>
      <c r="L28" s="227">
        <f t="shared" si="3"/>
        <v>25</v>
      </c>
      <c r="M28" s="61"/>
      <c r="O28" s="42">
        <f>IFERROR(VLOOKUP(C28,תקציב!$D$22:$J$177,6,0),0)</f>
        <v>0</v>
      </c>
      <c r="P28" s="43">
        <f>IFERROR(VLOOKUP(C28,תקציב!$D$22:$J$177,5,0),0)</f>
        <v>0</v>
      </c>
      <c r="Q28" s="43">
        <f>IF(ISNUMBER(VLOOKUP(C28,תקציב!$D$22:$J$177,3,FALSE)),VLOOKUP(C28,תקציב!$D$22:$J$177,3,FALSE),1)</f>
        <v>1</v>
      </c>
      <c r="R28" s="43">
        <f t="shared" si="1"/>
        <v>0</v>
      </c>
      <c r="S28" s="44">
        <f t="shared" si="2"/>
        <v>0</v>
      </c>
      <c r="T28" s="186">
        <f>IFERROR(VLOOKUP(C28,תקציב!$D$22:$K$177,7,FALSE),0)-S28</f>
        <v>0</v>
      </c>
    </row>
    <row r="29" spans="2:20" ht="15" customHeight="1" x14ac:dyDescent="0.2">
      <c r="B29" s="32" t="str">
        <f t="shared" ref="B29:B31" si="7">G29</f>
        <v>שבועות</v>
      </c>
      <c r="C29" s="45" t="str">
        <f>'מק"ט'!$C$3&amp;VLOOKUP(G29,'מק"ט'!$D$2:$E$9,2,FALSE)&amp;VLOOKUP(E29,'מק"ט'!$F$2:$G$9,2,FALSE)&amp;D29</f>
        <v>76130104</v>
      </c>
      <c r="D29" s="58" t="s">
        <v>165</v>
      </c>
      <c r="E29" s="47" t="s">
        <v>162</v>
      </c>
      <c r="F29" s="59" t="s">
        <v>73</v>
      </c>
      <c r="G29" s="49" t="s">
        <v>26</v>
      </c>
      <c r="H29" s="50"/>
      <c r="I29" s="50"/>
      <c r="J29" s="50"/>
      <c r="K29" s="51"/>
      <c r="L29" s="227">
        <f t="shared" si="3"/>
        <v>25</v>
      </c>
      <c r="M29" s="61"/>
      <c r="O29" s="42"/>
      <c r="P29" s="43"/>
      <c r="Q29" s="43"/>
      <c r="R29" s="43"/>
      <c r="S29" s="44"/>
      <c r="T29" s="186"/>
    </row>
    <row r="30" spans="2:20" ht="15" customHeight="1" x14ac:dyDescent="0.2">
      <c r="B30" s="32" t="str">
        <f t="shared" si="7"/>
        <v>חודשים</v>
      </c>
      <c r="C30" s="45" t="str">
        <f>'מק"ט'!$C$3&amp;VLOOKUP(G30,'מק"ט'!$D$2:$E$9,2,FALSE)&amp;VLOOKUP(E30,'מק"ט'!$F$2:$G$9,2,FALSE)&amp;D30</f>
        <v>76140104</v>
      </c>
      <c r="D30" s="58" t="s">
        <v>165</v>
      </c>
      <c r="E30" s="47" t="s">
        <v>162</v>
      </c>
      <c r="F30" s="59" t="s">
        <v>73</v>
      </c>
      <c r="G30" s="49" t="s">
        <v>24</v>
      </c>
      <c r="H30" s="50"/>
      <c r="I30" s="50"/>
      <c r="J30" s="50"/>
      <c r="K30" s="51"/>
      <c r="L30" s="227">
        <f t="shared" si="3"/>
        <v>25</v>
      </c>
      <c r="M30" s="61"/>
      <c r="O30" s="42"/>
      <c r="P30" s="43"/>
      <c r="Q30" s="43"/>
      <c r="R30" s="43"/>
      <c r="S30" s="44"/>
      <c r="T30" s="186"/>
    </row>
    <row r="31" spans="2:20" ht="15" customHeight="1" x14ac:dyDescent="0.2">
      <c r="B31" s="32" t="str">
        <f t="shared" si="7"/>
        <v>עונתי גלובלי</v>
      </c>
      <c r="C31" s="45" t="str">
        <f>'מק"ט'!$C$3&amp;VLOOKUP(G31,'מק"ט'!$D$2:$E$9,2,FALSE)&amp;VLOOKUP(E31,'מק"ט'!$F$2:$G$9,2,FALSE)&amp;D31</f>
        <v>76150104</v>
      </c>
      <c r="D31" s="58" t="s">
        <v>165</v>
      </c>
      <c r="E31" s="47" t="s">
        <v>162</v>
      </c>
      <c r="F31" s="59" t="s">
        <v>73</v>
      </c>
      <c r="G31" s="49" t="s">
        <v>23</v>
      </c>
      <c r="H31" s="50"/>
      <c r="I31" s="50"/>
      <c r="J31" s="50"/>
      <c r="K31" s="51"/>
      <c r="L31" s="227">
        <f t="shared" si="3"/>
        <v>25</v>
      </c>
      <c r="M31" s="61"/>
      <c r="O31" s="42"/>
      <c r="P31" s="43"/>
      <c r="Q31" s="43"/>
      <c r="R31" s="43"/>
      <c r="S31" s="44"/>
      <c r="T31" s="186"/>
    </row>
    <row r="32" spans="2:20" ht="15" customHeight="1" x14ac:dyDescent="0.2">
      <c r="B32" s="32" t="str">
        <f t="shared" si="0"/>
        <v>תכניות/פרקים</v>
      </c>
      <c r="C32" s="45" t="str">
        <f>'מק"ט'!$C$3&amp;VLOOKUP(G32,'מק"ט'!$D$2:$E$9,2,FALSE)&amp;VLOOKUP(E32,'מק"ט'!$F$2:$G$9,2,FALSE)&amp;D32</f>
        <v>76110105</v>
      </c>
      <c r="D32" s="60" t="s">
        <v>169</v>
      </c>
      <c r="E32" s="53" t="s">
        <v>162</v>
      </c>
      <c r="F32" s="54" t="s">
        <v>261</v>
      </c>
      <c r="G32" s="55" t="s">
        <v>25</v>
      </c>
      <c r="H32" s="56"/>
      <c r="I32" s="56"/>
      <c r="J32" s="56"/>
      <c r="K32" s="57"/>
      <c r="L32" s="227">
        <f t="shared" si="3"/>
        <v>30</v>
      </c>
      <c r="M32" s="61"/>
      <c r="O32" s="42">
        <f>IFERROR(VLOOKUP(C32,תקציב!$D$22:$J$177,6,0),0)</f>
        <v>0</v>
      </c>
      <c r="P32" s="43">
        <f>IFERROR(VLOOKUP(C32,תקציב!$D$22:$J$177,5,0),0)</f>
        <v>0</v>
      </c>
      <c r="Q32" s="43">
        <f>IF(ISNUMBER(VLOOKUP(C32,תקציב!$D$22:$J$177,3,FALSE)),VLOOKUP(C32,תקציב!$D$22:$J$177,3,FALSE),1)</f>
        <v>1</v>
      </c>
      <c r="R32" s="43">
        <f t="shared" ref="R32:R33" si="8">IFERROR((P32*Q32),0)</f>
        <v>0</v>
      </c>
      <c r="S32" s="44">
        <f t="shared" ref="S32:S33" si="9">O32*R32</f>
        <v>0</v>
      </c>
      <c r="T32" s="186">
        <f>IFERROR(VLOOKUP(C32,תקציב!$D$22:$K$177,7,FALSE),0)-S32</f>
        <v>0</v>
      </c>
    </row>
    <row r="33" spans="2:20" ht="15" customHeight="1" x14ac:dyDescent="0.2">
      <c r="B33" s="32" t="str">
        <f t="shared" si="0"/>
        <v>ימים</v>
      </c>
      <c r="C33" s="45" t="str">
        <f>'מק"ט'!$C$3&amp;VLOOKUP(G33,'מק"ט'!$D$2:$E$9,2,FALSE)&amp;VLOOKUP(E33,'מק"ט'!$F$2:$G$9,2,FALSE)&amp;D33</f>
        <v>76120105</v>
      </c>
      <c r="D33" s="60" t="s">
        <v>169</v>
      </c>
      <c r="E33" s="53" t="s">
        <v>162</v>
      </c>
      <c r="F33" s="54" t="s">
        <v>261</v>
      </c>
      <c r="G33" s="55" t="s">
        <v>21</v>
      </c>
      <c r="H33" s="56"/>
      <c r="I33" s="56"/>
      <c r="J33" s="56"/>
      <c r="K33" s="57"/>
      <c r="L33" s="227">
        <f t="shared" si="3"/>
        <v>30</v>
      </c>
      <c r="M33" s="61"/>
      <c r="O33" s="42">
        <f>IFERROR(VLOOKUP(C33,תקציב!$D$22:$J$177,6,0),0)</f>
        <v>0</v>
      </c>
      <c r="P33" s="43">
        <f>IFERROR(VLOOKUP(C33,תקציב!$D$22:$J$177,5,0),0)</f>
        <v>0</v>
      </c>
      <c r="Q33" s="43">
        <f>IF(ISNUMBER(VLOOKUP(C33,תקציב!$D$22:$J$177,3,FALSE)),VLOOKUP(C33,תקציב!$D$22:$J$177,3,FALSE),1)</f>
        <v>1</v>
      </c>
      <c r="R33" s="43">
        <f t="shared" si="8"/>
        <v>0</v>
      </c>
      <c r="S33" s="44">
        <f t="shared" si="9"/>
        <v>0</v>
      </c>
      <c r="T33" s="186">
        <f>IFERROR(VLOOKUP(C33,תקציב!$D$22:$K$177,7,FALSE),0)-S33</f>
        <v>0</v>
      </c>
    </row>
    <row r="34" spans="2:20" ht="15" customHeight="1" x14ac:dyDescent="0.2">
      <c r="B34" s="32" t="str">
        <f t="shared" ref="B34:B36" si="10">G34</f>
        <v>שבועות</v>
      </c>
      <c r="C34" s="45" t="str">
        <f>'מק"ט'!$C$3&amp;VLOOKUP(G34,'מק"ט'!$D$2:$E$9,2,FALSE)&amp;VLOOKUP(E34,'מק"ט'!$F$2:$G$9,2,FALSE)&amp;D34</f>
        <v>76130105</v>
      </c>
      <c r="D34" s="60" t="s">
        <v>169</v>
      </c>
      <c r="E34" s="53" t="s">
        <v>162</v>
      </c>
      <c r="F34" s="54" t="s">
        <v>261</v>
      </c>
      <c r="G34" s="55" t="s">
        <v>26</v>
      </c>
      <c r="H34" s="56"/>
      <c r="I34" s="56"/>
      <c r="J34" s="56"/>
      <c r="K34" s="57"/>
      <c r="L34" s="227">
        <f t="shared" si="3"/>
        <v>30</v>
      </c>
      <c r="M34" s="61"/>
      <c r="O34" s="42"/>
      <c r="P34" s="43"/>
      <c r="Q34" s="43"/>
      <c r="R34" s="43"/>
      <c r="S34" s="44"/>
      <c r="T34" s="186"/>
    </row>
    <row r="35" spans="2:20" ht="15" customHeight="1" x14ac:dyDescent="0.2">
      <c r="B35" s="32" t="str">
        <f t="shared" si="10"/>
        <v>חודשים</v>
      </c>
      <c r="C35" s="45" t="str">
        <f>'מק"ט'!$C$3&amp;VLOOKUP(G35,'מק"ט'!$D$2:$E$9,2,FALSE)&amp;VLOOKUP(E35,'מק"ט'!$F$2:$G$9,2,FALSE)&amp;D35</f>
        <v>76140105</v>
      </c>
      <c r="D35" s="60" t="s">
        <v>169</v>
      </c>
      <c r="E35" s="53" t="s">
        <v>162</v>
      </c>
      <c r="F35" s="54" t="s">
        <v>261</v>
      </c>
      <c r="G35" s="55" t="s">
        <v>24</v>
      </c>
      <c r="H35" s="56"/>
      <c r="I35" s="56"/>
      <c r="J35" s="56"/>
      <c r="K35" s="57"/>
      <c r="L35" s="227">
        <f t="shared" si="3"/>
        <v>30</v>
      </c>
      <c r="M35" s="61"/>
      <c r="O35" s="42"/>
      <c r="P35" s="43"/>
      <c r="Q35" s="43"/>
      <c r="R35" s="43"/>
      <c r="S35" s="44"/>
      <c r="T35" s="186"/>
    </row>
    <row r="36" spans="2:20" ht="15" customHeight="1" x14ac:dyDescent="0.2">
      <c r="B36" s="32" t="str">
        <f t="shared" si="10"/>
        <v>עונתי גלובלי</v>
      </c>
      <c r="C36" s="45" t="str">
        <f>'מק"ט'!$C$3&amp;VLOOKUP(G36,'מק"ט'!$D$2:$E$9,2,FALSE)&amp;VLOOKUP(E36,'מק"ט'!$F$2:$G$9,2,FALSE)&amp;D36</f>
        <v>76150105</v>
      </c>
      <c r="D36" s="60" t="s">
        <v>169</v>
      </c>
      <c r="E36" s="53" t="s">
        <v>162</v>
      </c>
      <c r="F36" s="54" t="s">
        <v>261</v>
      </c>
      <c r="G36" s="55" t="s">
        <v>23</v>
      </c>
      <c r="H36" s="56"/>
      <c r="I36" s="56"/>
      <c r="J36" s="56"/>
      <c r="K36" s="57"/>
      <c r="L36" s="227">
        <f t="shared" si="3"/>
        <v>30</v>
      </c>
      <c r="M36" s="61"/>
      <c r="O36" s="42"/>
      <c r="P36" s="43"/>
      <c r="Q36" s="43"/>
      <c r="R36" s="43"/>
      <c r="S36" s="44"/>
      <c r="T36" s="186"/>
    </row>
    <row r="37" spans="2:20" ht="15" customHeight="1" x14ac:dyDescent="0.2">
      <c r="B37" s="32" t="str">
        <f t="shared" si="0"/>
        <v>תכניות/פרקים</v>
      </c>
      <c r="C37" s="45" t="str">
        <f>'מק"ט'!$C$3&amp;VLOOKUP(G37,'מק"ט'!$D$2:$E$9,2,FALSE)&amp;VLOOKUP(E37,'מק"ט'!$F$2:$G$9,2,FALSE)&amp;D37</f>
        <v>76110115</v>
      </c>
      <c r="D37" s="95">
        <v>15</v>
      </c>
      <c r="E37" s="47" t="s">
        <v>162</v>
      </c>
      <c r="F37" s="59" t="s">
        <v>262</v>
      </c>
      <c r="G37" s="49" t="s">
        <v>25</v>
      </c>
      <c r="H37" s="50"/>
      <c r="I37" s="50"/>
      <c r="J37" s="50"/>
      <c r="K37" s="51"/>
      <c r="L37" s="227">
        <f t="shared" si="3"/>
        <v>35</v>
      </c>
      <c r="M37" s="61"/>
      <c r="O37" s="42">
        <f>IFERROR(VLOOKUP(C37,תקציב!$D$22:$J$177,6,0),0)</f>
        <v>0</v>
      </c>
      <c r="P37" s="43">
        <f>IFERROR(VLOOKUP(C37,תקציב!$D$22:$J$177,5,0),0)</f>
        <v>0</v>
      </c>
      <c r="Q37" s="43">
        <f>IF(ISNUMBER(VLOOKUP(C37,תקציב!$D$22:$J$177,3,FALSE)),VLOOKUP(C37,תקציב!$D$22:$J$177,3,FALSE),1)</f>
        <v>1</v>
      </c>
      <c r="R37" s="43">
        <f t="shared" ref="R37:R38" si="11">IFERROR((P37*Q37),0)</f>
        <v>0</v>
      </c>
      <c r="S37" s="44">
        <f t="shared" ref="S37:S38" si="12">O37*R37</f>
        <v>0</v>
      </c>
      <c r="T37" s="186">
        <f>IFERROR(VLOOKUP(C37,תקציב!$D$22:$K$177,7,FALSE),0)-S37</f>
        <v>0</v>
      </c>
    </row>
    <row r="38" spans="2:20" ht="15" customHeight="1" x14ac:dyDescent="0.2">
      <c r="B38" s="32" t="str">
        <f t="shared" si="0"/>
        <v>ימים</v>
      </c>
      <c r="C38" s="45" t="str">
        <f>'מק"ט'!$C$3&amp;VLOOKUP(G38,'מק"ט'!$D$2:$E$9,2,FALSE)&amp;VLOOKUP(E38,'מק"ט'!$F$2:$G$9,2,FALSE)&amp;D38</f>
        <v>76120115</v>
      </c>
      <c r="D38" s="95">
        <v>15</v>
      </c>
      <c r="E38" s="47" t="s">
        <v>162</v>
      </c>
      <c r="F38" s="59" t="s">
        <v>262</v>
      </c>
      <c r="G38" s="49" t="s">
        <v>21</v>
      </c>
      <c r="H38" s="50"/>
      <c r="I38" s="50"/>
      <c r="J38" s="50"/>
      <c r="K38" s="51"/>
      <c r="L38" s="227">
        <f t="shared" si="3"/>
        <v>35</v>
      </c>
      <c r="M38" s="61"/>
      <c r="O38" s="42">
        <f>IFERROR(VLOOKUP(C38,תקציב!$D$22:$J$177,6,0),0)</f>
        <v>0</v>
      </c>
      <c r="P38" s="43">
        <f>IFERROR(VLOOKUP(C38,תקציב!$D$22:$J$177,5,0),0)</f>
        <v>0</v>
      </c>
      <c r="Q38" s="43">
        <f>IF(ISNUMBER(VLOOKUP(C38,תקציב!$D$22:$J$177,3,FALSE)),VLOOKUP(C38,תקציב!$D$22:$J$177,3,FALSE),1)</f>
        <v>1</v>
      </c>
      <c r="R38" s="43">
        <f t="shared" si="11"/>
        <v>0</v>
      </c>
      <c r="S38" s="44">
        <f t="shared" si="12"/>
        <v>0</v>
      </c>
      <c r="T38" s="186">
        <f>IFERROR(VLOOKUP(C38,תקציב!$D$22:$K$177,7,FALSE),0)-S38</f>
        <v>0</v>
      </c>
    </row>
    <row r="39" spans="2:20" ht="15" customHeight="1" x14ac:dyDescent="0.2">
      <c r="B39" s="32" t="str">
        <f t="shared" ref="B39:B41" si="13">G39</f>
        <v>שבועות</v>
      </c>
      <c r="C39" s="45" t="str">
        <f>'מק"ט'!$C$3&amp;VLOOKUP(G39,'מק"ט'!$D$2:$E$9,2,FALSE)&amp;VLOOKUP(E39,'מק"ט'!$F$2:$G$9,2,FALSE)&amp;D39</f>
        <v>76130115</v>
      </c>
      <c r="D39" s="95">
        <v>15</v>
      </c>
      <c r="E39" s="47" t="s">
        <v>162</v>
      </c>
      <c r="F39" s="59" t="s">
        <v>262</v>
      </c>
      <c r="G39" s="49" t="s">
        <v>26</v>
      </c>
      <c r="H39" s="50"/>
      <c r="I39" s="50"/>
      <c r="J39" s="50"/>
      <c r="K39" s="51"/>
      <c r="L39" s="227">
        <f t="shared" si="3"/>
        <v>35</v>
      </c>
      <c r="M39" s="61"/>
      <c r="O39" s="42"/>
      <c r="P39" s="43"/>
      <c r="Q39" s="43"/>
      <c r="R39" s="43"/>
      <c r="S39" s="44"/>
      <c r="T39" s="186"/>
    </row>
    <row r="40" spans="2:20" ht="15" customHeight="1" x14ac:dyDescent="0.2">
      <c r="B40" s="32" t="str">
        <f t="shared" si="13"/>
        <v>חודשים</v>
      </c>
      <c r="C40" s="45" t="str">
        <f>'מק"ט'!$C$3&amp;VLOOKUP(G40,'מק"ט'!$D$2:$E$9,2,FALSE)&amp;VLOOKUP(E40,'מק"ט'!$F$2:$G$9,2,FALSE)&amp;D40</f>
        <v>76140115</v>
      </c>
      <c r="D40" s="95">
        <v>15</v>
      </c>
      <c r="E40" s="47" t="s">
        <v>162</v>
      </c>
      <c r="F40" s="59" t="s">
        <v>262</v>
      </c>
      <c r="G40" s="49" t="s">
        <v>24</v>
      </c>
      <c r="H40" s="50"/>
      <c r="I40" s="50"/>
      <c r="J40" s="50"/>
      <c r="K40" s="51"/>
      <c r="L40" s="227">
        <f t="shared" si="3"/>
        <v>35</v>
      </c>
      <c r="M40" s="61"/>
      <c r="O40" s="42"/>
      <c r="P40" s="43"/>
      <c r="Q40" s="43"/>
      <c r="R40" s="43"/>
      <c r="S40" s="44"/>
      <c r="T40" s="186"/>
    </row>
    <row r="41" spans="2:20" ht="15" customHeight="1" x14ac:dyDescent="0.2">
      <c r="B41" s="32" t="str">
        <f t="shared" si="13"/>
        <v>עונתי גלובלי</v>
      </c>
      <c r="C41" s="45" t="str">
        <f>'מק"ט'!$C$3&amp;VLOOKUP(G41,'מק"ט'!$D$2:$E$9,2,FALSE)&amp;VLOOKUP(E41,'מק"ט'!$F$2:$G$9,2,FALSE)&amp;D41</f>
        <v>76150115</v>
      </c>
      <c r="D41" s="95">
        <v>15</v>
      </c>
      <c r="E41" s="47" t="s">
        <v>162</v>
      </c>
      <c r="F41" s="59" t="s">
        <v>262</v>
      </c>
      <c r="G41" s="49" t="s">
        <v>23</v>
      </c>
      <c r="H41" s="50"/>
      <c r="I41" s="50"/>
      <c r="J41" s="50"/>
      <c r="K41" s="51"/>
      <c r="L41" s="227">
        <f t="shared" si="3"/>
        <v>35</v>
      </c>
      <c r="M41" s="61"/>
      <c r="O41" s="42"/>
      <c r="P41" s="43"/>
      <c r="Q41" s="43"/>
      <c r="R41" s="43"/>
      <c r="S41" s="44"/>
      <c r="T41" s="186"/>
    </row>
    <row r="42" spans="2:20" ht="14.25" customHeight="1" x14ac:dyDescent="0.2">
      <c r="B42" s="32" t="str">
        <f t="shared" si="0"/>
        <v>תכניות/פרקים</v>
      </c>
      <c r="C42" s="45" t="str">
        <f>'מק"ט'!$C$3&amp;VLOOKUP(G42,'מק"ט'!$D$2:$E$9,2,FALSE)&amp;VLOOKUP(E42,'מק"ט'!$F$2:$G$9,2,FALSE)&amp;D42</f>
        <v>76110112</v>
      </c>
      <c r="D42" s="52">
        <v>12</v>
      </c>
      <c r="E42" s="53" t="s">
        <v>162</v>
      </c>
      <c r="F42" s="54" t="s">
        <v>74</v>
      </c>
      <c r="G42" s="55" t="s">
        <v>25</v>
      </c>
      <c r="H42" s="56"/>
      <c r="I42" s="56"/>
      <c r="J42" s="56"/>
      <c r="K42" s="57"/>
      <c r="L42" s="227">
        <f t="shared" si="3"/>
        <v>40</v>
      </c>
      <c r="O42" s="42">
        <f>IFERROR(VLOOKUP(C42,תקציב!$D$22:$J$177,6,0),0)</f>
        <v>0</v>
      </c>
      <c r="P42" s="43">
        <f>IFERROR(VLOOKUP(C42,תקציב!$D$22:$J$177,5,0),0)</f>
        <v>0</v>
      </c>
      <c r="Q42" s="43">
        <f>IF(ISNUMBER(VLOOKUP(C42,תקציב!$D$22:$J$177,3,FALSE)),VLOOKUP(C42,תקציב!$D$22:$J$177,3,FALSE),1)</f>
        <v>1</v>
      </c>
      <c r="R42" s="43">
        <f t="shared" si="1"/>
        <v>0</v>
      </c>
      <c r="S42" s="44">
        <f t="shared" si="2"/>
        <v>0</v>
      </c>
      <c r="T42" s="186">
        <f>IFERROR(VLOOKUP(C42,תקציב!$D$22:$K$177,7,FALSE),0)-S42</f>
        <v>0</v>
      </c>
    </row>
    <row r="43" spans="2:20" ht="14.25" customHeight="1" x14ac:dyDescent="0.2">
      <c r="B43" s="32" t="str">
        <f t="shared" si="0"/>
        <v>ימים</v>
      </c>
      <c r="C43" s="45" t="str">
        <f>'מק"ט'!$C$3&amp;VLOOKUP(G43,'מק"ט'!$D$2:$E$9,2,FALSE)&amp;VLOOKUP(E43,'מק"ט'!$F$2:$G$9,2,FALSE)&amp;D43</f>
        <v>76120112</v>
      </c>
      <c r="D43" s="52">
        <v>12</v>
      </c>
      <c r="E43" s="53" t="s">
        <v>162</v>
      </c>
      <c r="F43" s="54" t="s">
        <v>74</v>
      </c>
      <c r="G43" s="55" t="s">
        <v>21</v>
      </c>
      <c r="H43" s="56"/>
      <c r="I43" s="56"/>
      <c r="J43" s="56"/>
      <c r="K43" s="57"/>
      <c r="L43" s="227">
        <f t="shared" si="3"/>
        <v>40</v>
      </c>
      <c r="O43" s="42">
        <f>IFERROR(VLOOKUP(C43,תקציב!$D$22:$J$177,6,0),0)</f>
        <v>0</v>
      </c>
      <c r="P43" s="43">
        <f>IFERROR(VLOOKUP(C43,תקציב!$D$22:$J$177,5,0),0)</f>
        <v>0</v>
      </c>
      <c r="Q43" s="43">
        <f>IF(ISNUMBER(VLOOKUP(C43,תקציב!$D$22:$J$177,3,FALSE)),VLOOKUP(C43,תקציב!$D$22:$J$177,3,FALSE),1)</f>
        <v>1</v>
      </c>
      <c r="R43" s="43">
        <f t="shared" si="1"/>
        <v>0</v>
      </c>
      <c r="S43" s="44">
        <f t="shared" si="2"/>
        <v>0</v>
      </c>
      <c r="T43" s="186">
        <f>IFERROR(VLOOKUP(C43,תקציב!$D$22:$K$177,7,FALSE),0)-S43</f>
        <v>0</v>
      </c>
    </row>
    <row r="44" spans="2:20" ht="14.25" customHeight="1" x14ac:dyDescent="0.2">
      <c r="B44" s="32" t="str">
        <f t="shared" ref="B44:B46" si="14">G44</f>
        <v>שבועות</v>
      </c>
      <c r="C44" s="45" t="str">
        <f>'מק"ט'!$C$3&amp;VLOOKUP(G44,'מק"ט'!$D$2:$E$9,2,FALSE)&amp;VLOOKUP(E44,'מק"ט'!$F$2:$G$9,2,FALSE)&amp;D44</f>
        <v>76130112</v>
      </c>
      <c r="D44" s="52">
        <v>12</v>
      </c>
      <c r="E44" s="53" t="s">
        <v>162</v>
      </c>
      <c r="F44" s="54" t="s">
        <v>74</v>
      </c>
      <c r="G44" s="55" t="s">
        <v>26</v>
      </c>
      <c r="H44" s="56"/>
      <c r="I44" s="56"/>
      <c r="J44" s="56"/>
      <c r="K44" s="57"/>
      <c r="L44" s="227">
        <f t="shared" si="3"/>
        <v>40</v>
      </c>
      <c r="O44" s="42"/>
      <c r="P44" s="43"/>
      <c r="Q44" s="43"/>
      <c r="R44" s="43"/>
      <c r="S44" s="44"/>
      <c r="T44" s="186"/>
    </row>
    <row r="45" spans="2:20" ht="14.25" customHeight="1" x14ac:dyDescent="0.2">
      <c r="B45" s="32" t="str">
        <f t="shared" si="14"/>
        <v>חודשים</v>
      </c>
      <c r="C45" s="45" t="str">
        <f>'מק"ט'!$C$3&amp;VLOOKUP(G45,'מק"ט'!$D$2:$E$9,2,FALSE)&amp;VLOOKUP(E45,'מק"ט'!$F$2:$G$9,2,FALSE)&amp;D45</f>
        <v>76140112</v>
      </c>
      <c r="D45" s="52">
        <v>12</v>
      </c>
      <c r="E45" s="53" t="s">
        <v>162</v>
      </c>
      <c r="F45" s="54" t="s">
        <v>74</v>
      </c>
      <c r="G45" s="55" t="s">
        <v>24</v>
      </c>
      <c r="H45" s="56"/>
      <c r="I45" s="56"/>
      <c r="J45" s="56"/>
      <c r="K45" s="57"/>
      <c r="L45" s="227">
        <f t="shared" si="3"/>
        <v>40</v>
      </c>
      <c r="O45" s="42"/>
      <c r="P45" s="43"/>
      <c r="Q45" s="43"/>
      <c r="R45" s="43"/>
      <c r="S45" s="44"/>
      <c r="T45" s="186"/>
    </row>
    <row r="46" spans="2:20" ht="14.25" customHeight="1" x14ac:dyDescent="0.2">
      <c r="B46" s="32" t="str">
        <f t="shared" si="14"/>
        <v>עונתי גלובלי</v>
      </c>
      <c r="C46" s="45" t="str">
        <f>'מק"ט'!$C$3&amp;VLOOKUP(G46,'מק"ט'!$D$2:$E$9,2,FALSE)&amp;VLOOKUP(E46,'מק"ט'!$F$2:$G$9,2,FALSE)&amp;D46</f>
        <v>76150112</v>
      </c>
      <c r="D46" s="52">
        <v>12</v>
      </c>
      <c r="E46" s="53" t="s">
        <v>162</v>
      </c>
      <c r="F46" s="54" t="s">
        <v>74</v>
      </c>
      <c r="G46" s="55" t="s">
        <v>23</v>
      </c>
      <c r="H46" s="56"/>
      <c r="I46" s="56"/>
      <c r="J46" s="56"/>
      <c r="K46" s="57"/>
      <c r="L46" s="227">
        <f t="shared" si="3"/>
        <v>40</v>
      </c>
      <c r="O46" s="42"/>
      <c r="P46" s="43"/>
      <c r="Q46" s="43"/>
      <c r="R46" s="43"/>
      <c r="S46" s="44"/>
      <c r="T46" s="186"/>
    </row>
    <row r="47" spans="2:20" ht="15" x14ac:dyDescent="0.2">
      <c r="B47" s="32" t="str">
        <f t="shared" si="0"/>
        <v>תכניות/פרקים</v>
      </c>
      <c r="C47" s="45" t="str">
        <f>'מק"ט'!$C$3&amp;VLOOKUP(G47,'מק"ט'!$D$2:$E$9,2,FALSE)&amp;VLOOKUP(E47,'מק"ט'!$F$2:$G$9,2,FALSE)&amp;D47</f>
        <v>76110113</v>
      </c>
      <c r="D47" s="62">
        <v>13</v>
      </c>
      <c r="E47" s="47" t="s">
        <v>162</v>
      </c>
      <c r="F47" s="59" t="s">
        <v>75</v>
      </c>
      <c r="G47" s="49" t="s">
        <v>25</v>
      </c>
      <c r="H47" s="50"/>
      <c r="I47" s="50"/>
      <c r="J47" s="50"/>
      <c r="K47" s="51"/>
      <c r="L47" s="227">
        <f t="shared" si="3"/>
        <v>45</v>
      </c>
      <c r="O47" s="42">
        <f>IFERROR(VLOOKUP(C47,תקציב!$D$22:$J$177,6,0),0)</f>
        <v>0</v>
      </c>
      <c r="P47" s="43">
        <f>IFERROR(VLOOKUP(C47,תקציב!$D$22:$J$177,5,0),0)</f>
        <v>0</v>
      </c>
      <c r="Q47" s="43">
        <f>IF(ISNUMBER(VLOOKUP(C47,תקציב!$D$22:$J$177,3,FALSE)),VLOOKUP(C47,תקציב!$D$22:$J$177,3,FALSE),1)</f>
        <v>1</v>
      </c>
      <c r="R47" s="43">
        <f t="shared" si="1"/>
        <v>0</v>
      </c>
      <c r="S47" s="44">
        <f t="shared" si="2"/>
        <v>0</v>
      </c>
      <c r="T47" s="186">
        <f>IFERROR(VLOOKUP(C47,תקציב!$D$22:$K$177,7,FALSE),0)-S47</f>
        <v>0</v>
      </c>
    </row>
    <row r="48" spans="2:20" ht="15" x14ac:dyDescent="0.2">
      <c r="B48" s="32" t="str">
        <f t="shared" si="0"/>
        <v>ימים</v>
      </c>
      <c r="C48" s="45" t="str">
        <f>'מק"ט'!$C$3&amp;VLOOKUP(G48,'מק"ט'!$D$2:$E$9,2,FALSE)&amp;VLOOKUP(E48,'מק"ט'!$F$2:$G$9,2,FALSE)&amp;D48</f>
        <v>76120113</v>
      </c>
      <c r="D48" s="62">
        <v>13</v>
      </c>
      <c r="E48" s="47" t="s">
        <v>162</v>
      </c>
      <c r="F48" s="59" t="s">
        <v>75</v>
      </c>
      <c r="G48" s="49" t="s">
        <v>21</v>
      </c>
      <c r="H48" s="50"/>
      <c r="I48" s="50"/>
      <c r="J48" s="50"/>
      <c r="K48" s="51"/>
      <c r="L48" s="227">
        <f t="shared" si="3"/>
        <v>45</v>
      </c>
      <c r="O48" s="42">
        <f>IFERROR(VLOOKUP(C48,תקציב!$D$22:$J$177,6,0),0)</f>
        <v>0</v>
      </c>
      <c r="P48" s="43">
        <f>IFERROR(VLOOKUP(C48,תקציב!$D$22:$J$177,5,0),0)</f>
        <v>0</v>
      </c>
      <c r="Q48" s="43">
        <f>IF(ISNUMBER(VLOOKUP(C48,תקציב!$D$22:$J$177,3,FALSE)),VLOOKUP(C48,תקציב!$D$22:$J$177,3,FALSE),1)</f>
        <v>1</v>
      </c>
      <c r="R48" s="43">
        <f t="shared" si="1"/>
        <v>0</v>
      </c>
      <c r="S48" s="44">
        <f t="shared" si="2"/>
        <v>0</v>
      </c>
      <c r="T48" s="186">
        <f>IFERROR(VLOOKUP(C48,תקציב!$D$22:$K$177,7,FALSE),0)-S48</f>
        <v>0</v>
      </c>
    </row>
    <row r="49" spans="2:20" ht="15" x14ac:dyDescent="0.2">
      <c r="B49" s="32" t="str">
        <f t="shared" ref="B49:B51" si="15">G49</f>
        <v>שבועות</v>
      </c>
      <c r="C49" s="45" t="str">
        <f>'מק"ט'!$C$3&amp;VLOOKUP(G49,'מק"ט'!$D$2:$E$9,2,FALSE)&amp;VLOOKUP(E49,'מק"ט'!$F$2:$G$9,2,FALSE)&amp;D49</f>
        <v>76130113</v>
      </c>
      <c r="D49" s="62">
        <v>13</v>
      </c>
      <c r="E49" s="47" t="s">
        <v>162</v>
      </c>
      <c r="F49" s="59" t="s">
        <v>75</v>
      </c>
      <c r="G49" s="49" t="s">
        <v>26</v>
      </c>
      <c r="H49" s="50"/>
      <c r="I49" s="50"/>
      <c r="J49" s="50"/>
      <c r="K49" s="51"/>
      <c r="L49" s="227">
        <f t="shared" si="3"/>
        <v>45</v>
      </c>
      <c r="O49" s="42"/>
      <c r="P49" s="43"/>
      <c r="Q49" s="43"/>
      <c r="R49" s="43"/>
      <c r="S49" s="44"/>
      <c r="T49" s="186"/>
    </row>
    <row r="50" spans="2:20" ht="15" x14ac:dyDescent="0.2">
      <c r="B50" s="32" t="str">
        <f t="shared" si="15"/>
        <v>חודשים</v>
      </c>
      <c r="C50" s="45" t="str">
        <f>'מק"ט'!$C$3&amp;VLOOKUP(G50,'מק"ט'!$D$2:$E$9,2,FALSE)&amp;VLOOKUP(E50,'מק"ט'!$F$2:$G$9,2,FALSE)&amp;D50</f>
        <v>76140113</v>
      </c>
      <c r="D50" s="62">
        <v>13</v>
      </c>
      <c r="E50" s="47" t="s">
        <v>162</v>
      </c>
      <c r="F50" s="59" t="s">
        <v>75</v>
      </c>
      <c r="G50" s="49" t="s">
        <v>24</v>
      </c>
      <c r="H50" s="50"/>
      <c r="I50" s="50"/>
      <c r="J50" s="50"/>
      <c r="K50" s="51"/>
      <c r="L50" s="227">
        <f t="shared" si="3"/>
        <v>45</v>
      </c>
      <c r="O50" s="42"/>
      <c r="P50" s="43"/>
      <c r="Q50" s="43"/>
      <c r="R50" s="43"/>
      <c r="S50" s="44"/>
      <c r="T50" s="186"/>
    </row>
    <row r="51" spans="2:20" ht="15" x14ac:dyDescent="0.2">
      <c r="B51" s="32" t="str">
        <f t="shared" si="15"/>
        <v>עונתי גלובלי</v>
      </c>
      <c r="C51" s="45" t="str">
        <f>'מק"ט'!$C$3&amp;VLOOKUP(G51,'מק"ט'!$D$2:$E$9,2,FALSE)&amp;VLOOKUP(E51,'מק"ט'!$F$2:$G$9,2,FALSE)&amp;D51</f>
        <v>76150113</v>
      </c>
      <c r="D51" s="62">
        <v>13</v>
      </c>
      <c r="E51" s="47" t="s">
        <v>162</v>
      </c>
      <c r="F51" s="59" t="s">
        <v>75</v>
      </c>
      <c r="G51" s="49" t="s">
        <v>23</v>
      </c>
      <c r="H51" s="50"/>
      <c r="I51" s="50"/>
      <c r="J51" s="50"/>
      <c r="K51" s="51"/>
      <c r="L51" s="227">
        <f t="shared" si="3"/>
        <v>45</v>
      </c>
      <c r="O51" s="42"/>
      <c r="P51" s="43"/>
      <c r="Q51" s="43"/>
      <c r="R51" s="43"/>
      <c r="S51" s="44"/>
      <c r="T51" s="186"/>
    </row>
    <row r="52" spans="2:20" s="65" customFormat="1" ht="15" x14ac:dyDescent="0.2">
      <c r="B52" s="32" t="str">
        <f t="shared" si="0"/>
        <v>תכניות/פרקים</v>
      </c>
      <c r="C52" s="45" t="str">
        <f>'מק"ט'!$C$3&amp;VLOOKUP(G52,'מק"ט'!$D$2:$E$9,2,FALSE)&amp;VLOOKUP(E52,'מק"ט'!$F$2:$G$9,2,FALSE)&amp;D52</f>
        <v>76110110</v>
      </c>
      <c r="D52" s="52">
        <v>10</v>
      </c>
      <c r="E52" s="53" t="s">
        <v>162</v>
      </c>
      <c r="F52" s="63" t="s">
        <v>76</v>
      </c>
      <c r="G52" s="55" t="s">
        <v>25</v>
      </c>
      <c r="H52" s="56"/>
      <c r="I52" s="56"/>
      <c r="J52" s="56"/>
      <c r="K52" s="64"/>
      <c r="L52" s="227">
        <f t="shared" si="3"/>
        <v>50</v>
      </c>
      <c r="O52" s="42">
        <f>IFERROR(VLOOKUP(C52,תקציב!$D$22:$J$177,6,0),0)</f>
        <v>0</v>
      </c>
      <c r="P52" s="43">
        <f>IFERROR(VLOOKUP(C52,תקציב!$D$22:$J$177,5,0),0)</f>
        <v>0</v>
      </c>
      <c r="Q52" s="43">
        <f>IF(ISNUMBER(VLOOKUP(C52,תקציב!$D$22:$J$177,3,FALSE)),VLOOKUP(C52,תקציב!$D$22:$J$177,3,FALSE),1)</f>
        <v>1</v>
      </c>
      <c r="R52" s="43">
        <f t="shared" si="1"/>
        <v>0</v>
      </c>
      <c r="S52" s="44">
        <f t="shared" si="2"/>
        <v>0</v>
      </c>
      <c r="T52" s="186">
        <f>IFERROR(VLOOKUP(C52,תקציב!$D$22:$K$177,7,FALSE),0)-S52</f>
        <v>0</v>
      </c>
    </row>
    <row r="53" spans="2:20" s="65" customFormat="1" ht="15" x14ac:dyDescent="0.2">
      <c r="B53" s="32" t="str">
        <f t="shared" si="0"/>
        <v>ימים</v>
      </c>
      <c r="C53" s="45" t="str">
        <f>'מק"ט'!$C$3&amp;VLOOKUP(G53,'מק"ט'!$D$2:$E$9,2,FALSE)&amp;VLOOKUP(E53,'מק"ט'!$F$2:$G$9,2,FALSE)&amp;D53</f>
        <v>76120110</v>
      </c>
      <c r="D53" s="52">
        <v>10</v>
      </c>
      <c r="E53" s="53" t="s">
        <v>162</v>
      </c>
      <c r="F53" s="63" t="s">
        <v>76</v>
      </c>
      <c r="G53" s="55" t="s">
        <v>21</v>
      </c>
      <c r="H53" s="56"/>
      <c r="I53" s="56"/>
      <c r="J53" s="56"/>
      <c r="K53" s="64"/>
      <c r="L53" s="227">
        <f t="shared" si="3"/>
        <v>50</v>
      </c>
      <c r="O53" s="42">
        <f>IFERROR(VLOOKUP(C53,תקציב!$D$22:$J$177,6,0),0)</f>
        <v>0</v>
      </c>
      <c r="P53" s="43">
        <f>IFERROR(VLOOKUP(C53,תקציב!$D$22:$J$177,5,0),0)</f>
        <v>0</v>
      </c>
      <c r="Q53" s="43">
        <f>IF(ISNUMBER(VLOOKUP(C53,תקציב!$D$22:$J$177,3,FALSE)),VLOOKUP(C53,תקציב!$D$22:$J$177,3,FALSE),1)</f>
        <v>1</v>
      </c>
      <c r="R53" s="43">
        <f t="shared" si="1"/>
        <v>0</v>
      </c>
      <c r="S53" s="44">
        <f t="shared" si="2"/>
        <v>0</v>
      </c>
      <c r="T53" s="186">
        <f>IFERROR(VLOOKUP(C53,תקציב!$D$22:$K$177,7,FALSE),0)-S53</f>
        <v>0</v>
      </c>
    </row>
    <row r="54" spans="2:20" s="65" customFormat="1" ht="15" x14ac:dyDescent="0.2">
      <c r="B54" s="32" t="str">
        <f t="shared" si="0"/>
        <v>שבועות</v>
      </c>
      <c r="C54" s="45" t="str">
        <f>'מק"ט'!$C$3&amp;VLOOKUP(G54,'מק"ט'!$D$2:$E$9,2,FALSE)&amp;VLOOKUP(E54,'מק"ט'!$F$2:$G$9,2,FALSE)&amp;D54</f>
        <v>76130110</v>
      </c>
      <c r="D54" s="52">
        <v>10</v>
      </c>
      <c r="E54" s="53" t="s">
        <v>162</v>
      </c>
      <c r="F54" s="63" t="s">
        <v>76</v>
      </c>
      <c r="G54" s="55" t="s">
        <v>26</v>
      </c>
      <c r="H54" s="56"/>
      <c r="I54" s="56"/>
      <c r="J54" s="56"/>
      <c r="K54" s="64"/>
      <c r="L54" s="227">
        <f t="shared" si="3"/>
        <v>50</v>
      </c>
      <c r="O54" s="42">
        <f>IFERROR(VLOOKUP(C54,תקציב!$D$22:$J$177,6,0),0)</f>
        <v>0</v>
      </c>
      <c r="P54" s="43">
        <f>IFERROR(VLOOKUP(C54,תקציב!$D$22:$J$177,5,0),0)</f>
        <v>0</v>
      </c>
      <c r="Q54" s="43">
        <f>IF(ISNUMBER(VLOOKUP(C54,תקציב!$D$22:$J$177,3,FALSE)),VLOOKUP(C54,תקציב!$D$22:$J$177,3,FALSE),1)</f>
        <v>1</v>
      </c>
      <c r="R54" s="43">
        <f t="shared" si="1"/>
        <v>0</v>
      </c>
      <c r="S54" s="44">
        <f t="shared" si="2"/>
        <v>0</v>
      </c>
      <c r="T54" s="186">
        <f>IFERROR(VLOOKUP(C54,תקציב!$D$22:$K$177,7,FALSE),0)-S54</f>
        <v>0</v>
      </c>
    </row>
    <row r="55" spans="2:20" s="65" customFormat="1" ht="15" x14ac:dyDescent="0.2">
      <c r="B55" s="32" t="str">
        <f t="shared" ref="B55:B56" si="16">G55</f>
        <v>חודשים</v>
      </c>
      <c r="C55" s="45" t="str">
        <f>'מק"ט'!$C$3&amp;VLOOKUP(G55,'מק"ט'!$D$2:$E$9,2,FALSE)&amp;VLOOKUP(E55,'מק"ט'!$F$2:$G$9,2,FALSE)&amp;D55</f>
        <v>76140110</v>
      </c>
      <c r="D55" s="52">
        <v>10</v>
      </c>
      <c r="E55" s="53" t="s">
        <v>162</v>
      </c>
      <c r="F55" s="63" t="s">
        <v>76</v>
      </c>
      <c r="G55" s="55" t="s">
        <v>24</v>
      </c>
      <c r="H55" s="56"/>
      <c r="I55" s="56"/>
      <c r="J55" s="56"/>
      <c r="K55" s="64"/>
      <c r="L55" s="227">
        <f t="shared" si="3"/>
        <v>50</v>
      </c>
      <c r="O55" s="42"/>
      <c r="P55" s="43"/>
      <c r="Q55" s="43"/>
      <c r="R55" s="43"/>
      <c r="S55" s="44"/>
      <c r="T55" s="186"/>
    </row>
    <row r="56" spans="2:20" s="65" customFormat="1" ht="15" x14ac:dyDescent="0.2">
      <c r="B56" s="32" t="str">
        <f t="shared" si="16"/>
        <v>עונתי גלובלי</v>
      </c>
      <c r="C56" s="45" t="str">
        <f>'מק"ט'!$C$3&amp;VLOOKUP(G56,'מק"ט'!$D$2:$E$9,2,FALSE)&amp;VLOOKUP(E56,'מק"ט'!$F$2:$G$9,2,FALSE)&amp;D56</f>
        <v>76150110</v>
      </c>
      <c r="D56" s="52">
        <v>10</v>
      </c>
      <c r="E56" s="53" t="s">
        <v>162</v>
      </c>
      <c r="F56" s="63" t="s">
        <v>76</v>
      </c>
      <c r="G56" s="55" t="s">
        <v>23</v>
      </c>
      <c r="H56" s="56"/>
      <c r="I56" s="56"/>
      <c r="J56" s="56"/>
      <c r="K56" s="64"/>
      <c r="L56" s="227">
        <f t="shared" si="3"/>
        <v>50</v>
      </c>
      <c r="O56" s="42"/>
      <c r="P56" s="43"/>
      <c r="Q56" s="43"/>
      <c r="R56" s="43"/>
      <c r="S56" s="44"/>
      <c r="T56" s="186"/>
    </row>
    <row r="57" spans="2:20" s="65" customFormat="1" ht="15" customHeight="1" x14ac:dyDescent="0.2">
      <c r="B57" s="32" t="str">
        <f t="shared" si="0"/>
        <v>תכניות/פרקים</v>
      </c>
      <c r="C57" s="45" t="str">
        <f>'מק"ט'!$C$3&amp;VLOOKUP(G57,'מק"ט'!$D$2:$E$9,2,FALSE)&amp;VLOOKUP(E57,'מק"ט'!$F$2:$G$9,2,FALSE)&amp;D57</f>
        <v>76110114</v>
      </c>
      <c r="D57" s="62">
        <v>14</v>
      </c>
      <c r="E57" s="47" t="s">
        <v>162</v>
      </c>
      <c r="F57" s="66" t="s">
        <v>77</v>
      </c>
      <c r="G57" s="49" t="s">
        <v>25</v>
      </c>
      <c r="H57" s="50"/>
      <c r="I57" s="50"/>
      <c r="J57" s="50"/>
      <c r="K57" s="67"/>
      <c r="L57" s="227">
        <f t="shared" si="3"/>
        <v>55</v>
      </c>
      <c r="O57" s="42">
        <f>IFERROR(VLOOKUP(C57,תקציב!$D$22:$J$177,6,0),0)</f>
        <v>0</v>
      </c>
      <c r="P57" s="43">
        <f>IFERROR(VLOOKUP(C57,תקציב!$D$22:$J$177,5,0),0)</f>
        <v>0</v>
      </c>
      <c r="Q57" s="43">
        <f>IF(ISNUMBER(VLOOKUP(C57,תקציב!$D$22:$J$177,3,FALSE)),VLOOKUP(C57,תקציב!$D$22:$J$177,3,FALSE),1)</f>
        <v>1</v>
      </c>
      <c r="R57" s="43">
        <f t="shared" si="1"/>
        <v>0</v>
      </c>
      <c r="S57" s="44">
        <f t="shared" si="2"/>
        <v>0</v>
      </c>
      <c r="T57" s="186">
        <f>IFERROR(VLOOKUP(C57,תקציב!$D$22:$K$177,7,FALSE),0)-S57</f>
        <v>0</v>
      </c>
    </row>
    <row r="58" spans="2:20" s="65" customFormat="1" ht="15" customHeight="1" x14ac:dyDescent="0.2">
      <c r="B58" s="32" t="str">
        <f t="shared" ref="B58:B60" si="17">G58</f>
        <v>ימים</v>
      </c>
      <c r="C58" s="45" t="str">
        <f>'מק"ט'!$C$3&amp;VLOOKUP(G58,'מק"ט'!$D$2:$E$9,2,FALSE)&amp;VLOOKUP(E58,'מק"ט'!$F$2:$G$9,2,FALSE)&amp;D58</f>
        <v>76120115</v>
      </c>
      <c r="D58" s="62">
        <v>15</v>
      </c>
      <c r="E58" s="47" t="s">
        <v>162</v>
      </c>
      <c r="F58" s="66" t="s">
        <v>77</v>
      </c>
      <c r="G58" s="49" t="s">
        <v>21</v>
      </c>
      <c r="H58" s="50"/>
      <c r="I58" s="50"/>
      <c r="J58" s="50"/>
      <c r="K58" s="67"/>
      <c r="L58" s="227">
        <f t="shared" si="3"/>
        <v>55</v>
      </c>
      <c r="O58" s="42"/>
      <c r="P58" s="43"/>
      <c r="Q58" s="43"/>
      <c r="R58" s="43"/>
      <c r="S58" s="44"/>
      <c r="T58" s="186"/>
    </row>
    <row r="59" spans="2:20" s="65" customFormat="1" ht="15" customHeight="1" x14ac:dyDescent="0.2">
      <c r="B59" s="32" t="str">
        <f t="shared" si="17"/>
        <v>שבועות</v>
      </c>
      <c r="C59" s="45" t="str">
        <f>'מק"ט'!$C$3&amp;VLOOKUP(G59,'מק"ט'!$D$2:$E$9,2,FALSE)&amp;VLOOKUP(E59,'מק"ט'!$F$2:$G$9,2,FALSE)&amp;D59</f>
        <v>76130116</v>
      </c>
      <c r="D59" s="62">
        <v>16</v>
      </c>
      <c r="E59" s="47" t="s">
        <v>162</v>
      </c>
      <c r="F59" s="66" t="s">
        <v>77</v>
      </c>
      <c r="G59" s="49" t="s">
        <v>26</v>
      </c>
      <c r="H59" s="50"/>
      <c r="I59" s="50"/>
      <c r="J59" s="50"/>
      <c r="K59" s="67"/>
      <c r="L59" s="227">
        <f t="shared" si="3"/>
        <v>55</v>
      </c>
      <c r="O59" s="42"/>
      <c r="P59" s="43"/>
      <c r="Q59" s="43"/>
      <c r="R59" s="43"/>
      <c r="S59" s="44"/>
      <c r="T59" s="186"/>
    </row>
    <row r="60" spans="2:20" s="65" customFormat="1" ht="15" customHeight="1" x14ac:dyDescent="0.2">
      <c r="B60" s="32" t="str">
        <f t="shared" si="17"/>
        <v>חודשים</v>
      </c>
      <c r="C60" s="45" t="str">
        <f>'מק"ט'!$C$3&amp;VLOOKUP(G60,'מק"ט'!$D$2:$E$9,2,FALSE)&amp;VLOOKUP(E60,'מק"ט'!$F$2:$G$9,2,FALSE)&amp;D60</f>
        <v>76140117</v>
      </c>
      <c r="D60" s="62">
        <v>17</v>
      </c>
      <c r="E60" s="47" t="s">
        <v>162</v>
      </c>
      <c r="F60" s="66" t="s">
        <v>77</v>
      </c>
      <c r="G60" s="49" t="s">
        <v>24</v>
      </c>
      <c r="H60" s="50"/>
      <c r="I60" s="50"/>
      <c r="J60" s="50"/>
      <c r="K60" s="67"/>
      <c r="L60" s="227">
        <f t="shared" si="3"/>
        <v>55</v>
      </c>
      <c r="O60" s="42"/>
      <c r="P60" s="43"/>
      <c r="Q60" s="43"/>
      <c r="R60" s="43"/>
      <c r="S60" s="44"/>
      <c r="T60" s="186"/>
    </row>
    <row r="61" spans="2:20" s="65" customFormat="1" ht="15" customHeight="1" x14ac:dyDescent="0.2">
      <c r="B61" s="32" t="str">
        <f t="shared" si="0"/>
        <v>עונתי גלובלי</v>
      </c>
      <c r="C61" s="45" t="str">
        <f>'מק"ט'!$C$3&amp;VLOOKUP(G61,'מק"ט'!$D$2:$E$9,2,FALSE)&amp;VLOOKUP(E61,'מק"ט'!$F$2:$G$9,2,FALSE)&amp;D61</f>
        <v>76150114</v>
      </c>
      <c r="D61" s="62">
        <v>14</v>
      </c>
      <c r="E61" s="47" t="s">
        <v>162</v>
      </c>
      <c r="F61" s="66" t="s">
        <v>77</v>
      </c>
      <c r="G61" s="49" t="s">
        <v>23</v>
      </c>
      <c r="H61" s="50"/>
      <c r="I61" s="50"/>
      <c r="J61" s="50"/>
      <c r="K61" s="67"/>
      <c r="L61" s="227">
        <f t="shared" si="3"/>
        <v>55</v>
      </c>
      <c r="O61" s="42">
        <f>IFERROR(VLOOKUP(C61,תקציב!$D$22:$J$177,6,0),0)</f>
        <v>0</v>
      </c>
      <c r="P61" s="43">
        <f>IFERROR(VLOOKUP(C61,תקציב!$D$22:$J$177,5,0),0)</f>
        <v>0</v>
      </c>
      <c r="Q61" s="43">
        <f>IF(ISNUMBER(VLOOKUP(C61,תקציב!$D$22:$J$177,3,FALSE)),VLOOKUP(C61,תקציב!$D$22:$J$177,3,FALSE),1)</f>
        <v>1</v>
      </c>
      <c r="R61" s="43">
        <f t="shared" si="1"/>
        <v>0</v>
      </c>
      <c r="S61" s="44">
        <f t="shared" si="2"/>
        <v>0</v>
      </c>
      <c r="T61" s="186">
        <f>IFERROR(VLOOKUP(C61,תקציב!$D$22:$K$177,7,FALSE),0)-S61</f>
        <v>0</v>
      </c>
    </row>
    <row r="62" spans="2:20" ht="15" x14ac:dyDescent="0.2">
      <c r="B62" s="32" t="str">
        <f t="shared" si="0"/>
        <v>תכניות/פרקים</v>
      </c>
      <c r="C62" s="45" t="str">
        <f>'מק"ט'!$C$3&amp;VLOOKUP(G62,'מק"ט'!$D$2:$E$9,2,FALSE)&amp;VLOOKUP(E62,'מק"ט'!$F$2:$G$9,2,FALSE)&amp;D62</f>
        <v>76110108</v>
      </c>
      <c r="D62" s="60" t="s">
        <v>166</v>
      </c>
      <c r="E62" s="53" t="s">
        <v>162</v>
      </c>
      <c r="F62" s="63" t="s">
        <v>13</v>
      </c>
      <c r="G62" s="55" t="s">
        <v>25</v>
      </c>
      <c r="H62" s="68"/>
      <c r="I62" s="68"/>
      <c r="J62" s="68"/>
      <c r="K62" s="64"/>
      <c r="L62" s="227">
        <f t="shared" si="3"/>
        <v>60</v>
      </c>
      <c r="O62" s="42">
        <f>IFERROR(VLOOKUP(C62,תקציב!$D$22:$J$177,6,0),0)</f>
        <v>0</v>
      </c>
      <c r="P62" s="43">
        <f>IFERROR(VLOOKUP(C62,תקציב!$D$22:$J$177,5,0),0)</f>
        <v>0</v>
      </c>
      <c r="Q62" s="43">
        <f>IF(ISNUMBER(VLOOKUP(C62,תקציב!$D$22:$J$177,3,FALSE)),VLOOKUP(C62,תקציב!$D$22:$J$177,3,FALSE),1)</f>
        <v>1</v>
      </c>
      <c r="R62" s="43">
        <f t="shared" si="1"/>
        <v>0</v>
      </c>
      <c r="S62" s="44">
        <f t="shared" si="2"/>
        <v>0</v>
      </c>
      <c r="T62" s="186">
        <f>IFERROR(VLOOKUP(C62,תקציב!$D$22:$K$177,7,FALSE),0)-S62</f>
        <v>0</v>
      </c>
    </row>
    <row r="63" spans="2:20" ht="15" customHeight="1" x14ac:dyDescent="0.2">
      <c r="B63" s="32" t="str">
        <f t="shared" si="0"/>
        <v>ימים</v>
      </c>
      <c r="C63" s="45" t="str">
        <f>'מק"ט'!$C$3&amp;VLOOKUP(G63,'מק"ט'!$D$2:$E$9,2,FALSE)&amp;VLOOKUP(E63,'מק"ט'!$F$2:$G$9,2,FALSE)&amp;D63</f>
        <v>76120108</v>
      </c>
      <c r="D63" s="60" t="s">
        <v>166</v>
      </c>
      <c r="E63" s="53" t="s">
        <v>162</v>
      </c>
      <c r="F63" s="63" t="s">
        <v>13</v>
      </c>
      <c r="G63" s="55" t="s">
        <v>21</v>
      </c>
      <c r="H63" s="68"/>
      <c r="I63" s="68"/>
      <c r="J63" s="68"/>
      <c r="K63" s="64"/>
      <c r="L63" s="227">
        <f t="shared" si="3"/>
        <v>60</v>
      </c>
      <c r="O63" s="42">
        <f>IFERROR(VLOOKUP(C63,תקציב!$D$22:$J$177,6,0),0)</f>
        <v>0</v>
      </c>
      <c r="P63" s="43">
        <f>IFERROR(VLOOKUP(C63,תקציב!$D$22:$J$177,5,0),0)</f>
        <v>0</v>
      </c>
      <c r="Q63" s="43">
        <f>IF(ISNUMBER(VLOOKUP(C63,תקציב!$D$22:$J$177,3,FALSE)),VLOOKUP(C63,תקציב!$D$22:$J$177,3,FALSE),1)</f>
        <v>1</v>
      </c>
      <c r="R63" s="43">
        <f t="shared" si="1"/>
        <v>0</v>
      </c>
      <c r="S63" s="44">
        <f t="shared" si="2"/>
        <v>0</v>
      </c>
      <c r="T63" s="186">
        <f>IFERROR(VLOOKUP(C63,תקציב!$D$22:$K$177,7,FALSE),0)-S63</f>
        <v>0</v>
      </c>
    </row>
    <row r="64" spans="2:20" ht="15" customHeight="1" x14ac:dyDescent="0.2">
      <c r="B64" s="32" t="str">
        <f t="shared" ref="B64:B66" si="18">G64</f>
        <v>שבועות</v>
      </c>
      <c r="C64" s="45" t="str">
        <f>'מק"ט'!$C$3&amp;VLOOKUP(G64,'מק"ט'!$D$2:$E$9,2,FALSE)&amp;VLOOKUP(E64,'מק"ט'!$F$2:$G$9,2,FALSE)&amp;D64</f>
        <v>76130108</v>
      </c>
      <c r="D64" s="60" t="s">
        <v>166</v>
      </c>
      <c r="E64" s="53" t="s">
        <v>162</v>
      </c>
      <c r="F64" s="63" t="s">
        <v>13</v>
      </c>
      <c r="G64" s="55" t="s">
        <v>26</v>
      </c>
      <c r="H64" s="68"/>
      <c r="I64" s="68"/>
      <c r="J64" s="68"/>
      <c r="K64" s="64"/>
      <c r="L64" s="227">
        <f t="shared" si="3"/>
        <v>60</v>
      </c>
      <c r="O64" s="42"/>
      <c r="P64" s="43"/>
      <c r="Q64" s="43"/>
      <c r="R64" s="43"/>
      <c r="S64" s="44"/>
      <c r="T64" s="186"/>
    </row>
    <row r="65" spans="2:20" ht="15" customHeight="1" x14ac:dyDescent="0.2">
      <c r="B65" s="32" t="str">
        <f t="shared" si="18"/>
        <v>חודשים</v>
      </c>
      <c r="C65" s="45" t="str">
        <f>'מק"ט'!$C$3&amp;VLOOKUP(G65,'מק"ט'!$D$2:$E$9,2,FALSE)&amp;VLOOKUP(E65,'מק"ט'!$F$2:$G$9,2,FALSE)&amp;D65</f>
        <v>76140108</v>
      </c>
      <c r="D65" s="60" t="s">
        <v>166</v>
      </c>
      <c r="E65" s="53" t="s">
        <v>162</v>
      </c>
      <c r="F65" s="63" t="s">
        <v>13</v>
      </c>
      <c r="G65" s="55" t="s">
        <v>24</v>
      </c>
      <c r="H65" s="68"/>
      <c r="I65" s="68"/>
      <c r="J65" s="68"/>
      <c r="K65" s="64"/>
      <c r="L65" s="227">
        <f t="shared" si="3"/>
        <v>60</v>
      </c>
      <c r="O65" s="42"/>
      <c r="P65" s="43"/>
      <c r="Q65" s="43"/>
      <c r="R65" s="43"/>
      <c r="S65" s="44"/>
      <c r="T65" s="186"/>
    </row>
    <row r="66" spans="2:20" ht="15" customHeight="1" thickBot="1" x14ac:dyDescent="0.25">
      <c r="B66" s="32" t="str">
        <f t="shared" si="18"/>
        <v>עונתי גלובלי</v>
      </c>
      <c r="C66" s="45" t="str">
        <f>'מק"ט'!$C$3&amp;VLOOKUP(G66,'מק"ט'!$D$2:$E$9,2,FALSE)&amp;VLOOKUP(E66,'מק"ט'!$F$2:$G$9,2,FALSE)&amp;D66</f>
        <v>76150108</v>
      </c>
      <c r="D66" s="60" t="s">
        <v>166</v>
      </c>
      <c r="E66" s="53" t="s">
        <v>162</v>
      </c>
      <c r="F66" s="63" t="s">
        <v>13</v>
      </c>
      <c r="G66" s="55" t="s">
        <v>23</v>
      </c>
      <c r="H66" s="68"/>
      <c r="I66" s="68"/>
      <c r="J66" s="68"/>
      <c r="K66" s="64"/>
      <c r="L66" s="227">
        <f t="shared" si="3"/>
        <v>60</v>
      </c>
      <c r="O66" s="42"/>
      <c r="P66" s="43"/>
      <c r="Q66" s="43"/>
      <c r="R66" s="43"/>
      <c r="S66" s="44"/>
      <c r="T66" s="186"/>
    </row>
    <row r="67" spans="2:20" ht="15" x14ac:dyDescent="0.2">
      <c r="B67" s="228" t="str">
        <f t="shared" si="0"/>
        <v>תכניות/פרקים</v>
      </c>
      <c r="C67" s="36" t="str">
        <f>'מק"ט'!$C$3&amp;VLOOKUP(G67,'מק"ט'!$D$2:$E$9,2,FALSE)&amp;VLOOKUP(E67,'מק"ט'!$F$2:$G$9,2,FALSE)&amp;D67</f>
        <v>76110301</v>
      </c>
      <c r="D67" s="37" t="s">
        <v>167</v>
      </c>
      <c r="E67" s="69" t="s">
        <v>168</v>
      </c>
      <c r="F67" s="70" t="s">
        <v>80</v>
      </c>
      <c r="G67" s="40" t="s">
        <v>25</v>
      </c>
      <c r="H67" s="71"/>
      <c r="I67" s="71"/>
      <c r="J67" s="71"/>
      <c r="K67" s="72"/>
      <c r="L67" s="227">
        <f t="shared" si="3"/>
        <v>65</v>
      </c>
      <c r="O67" s="42">
        <f>IFERROR(VLOOKUP(C67,תקציב!$D$22:$J$177,6,0),0)</f>
        <v>0</v>
      </c>
      <c r="P67" s="43">
        <f>IFERROR(VLOOKUP(C67,תקציב!$D$22:$J$177,5,0),0)</f>
        <v>0</v>
      </c>
      <c r="Q67" s="43">
        <f>IF(ISNUMBER(VLOOKUP(C67,תקציב!$D$22:$J$177,3,FALSE)),VLOOKUP(C67,תקציב!$D$22:$J$177,3,FALSE),1)</f>
        <v>1</v>
      </c>
      <c r="R67" s="43">
        <f t="shared" si="1"/>
        <v>0</v>
      </c>
      <c r="S67" s="44">
        <f t="shared" si="2"/>
        <v>0</v>
      </c>
      <c r="T67" s="186">
        <f>IFERROR(VLOOKUP(C67,תקציב!$D$22:$K$177,7,FALSE),0)-S67</f>
        <v>0</v>
      </c>
    </row>
    <row r="68" spans="2:20" ht="15" x14ac:dyDescent="0.2">
      <c r="B68" s="228" t="str">
        <f t="shared" si="0"/>
        <v>ימים</v>
      </c>
      <c r="C68" s="45" t="str">
        <f>'מק"ט'!$C$3&amp;VLOOKUP(G68,'מק"ט'!$D$2:$E$9,2,FALSE)&amp;VLOOKUP(E68,'מק"ט'!$F$2:$G$9,2,FALSE)&amp;D68</f>
        <v>76120301</v>
      </c>
      <c r="D68" s="46" t="s">
        <v>167</v>
      </c>
      <c r="E68" s="73" t="s">
        <v>168</v>
      </c>
      <c r="F68" s="74" t="s">
        <v>80</v>
      </c>
      <c r="G68" s="49" t="s">
        <v>21</v>
      </c>
      <c r="H68" s="75"/>
      <c r="I68" s="75"/>
      <c r="J68" s="75"/>
      <c r="K68" s="67"/>
      <c r="L68" s="227">
        <f t="shared" si="3"/>
        <v>65</v>
      </c>
      <c r="O68" s="42">
        <f>IFERROR(VLOOKUP(C68,תקציב!$D$22:$J$177,6,0),0)</f>
        <v>0</v>
      </c>
      <c r="P68" s="43">
        <f>IFERROR(VLOOKUP(C68,תקציב!$D$22:$J$177,5,0),0)</f>
        <v>0</v>
      </c>
      <c r="Q68" s="43">
        <f>IF(ISNUMBER(VLOOKUP(C68,תקציב!$D$22:$J$177,3,FALSE)),VLOOKUP(C68,תקציב!$D$22:$J$177,3,FALSE),1)</f>
        <v>1</v>
      </c>
      <c r="R68" s="43">
        <f t="shared" si="1"/>
        <v>0</v>
      </c>
      <c r="S68" s="44">
        <f t="shared" si="2"/>
        <v>0</v>
      </c>
      <c r="T68" s="186">
        <f>IFERROR(VLOOKUP(C68,תקציב!$D$22:$K$177,7,FALSE),0)-S68</f>
        <v>0</v>
      </c>
    </row>
    <row r="69" spans="2:20" ht="15" x14ac:dyDescent="0.2">
      <c r="B69" s="228" t="str">
        <f t="shared" ref="B69:B71" si="19">G69</f>
        <v>שבועות</v>
      </c>
      <c r="C69" s="45" t="str">
        <f>'מק"ט'!$C$3&amp;VLOOKUP(G69,'מק"ט'!$D$2:$E$9,2,FALSE)&amp;VLOOKUP(E69,'מק"ט'!$F$2:$G$9,2,FALSE)&amp;D69</f>
        <v>76130301</v>
      </c>
      <c r="D69" s="46" t="s">
        <v>167</v>
      </c>
      <c r="E69" s="73" t="s">
        <v>168</v>
      </c>
      <c r="F69" s="74" t="s">
        <v>80</v>
      </c>
      <c r="G69" s="49" t="s">
        <v>26</v>
      </c>
      <c r="H69" s="75"/>
      <c r="I69" s="75"/>
      <c r="J69" s="75"/>
      <c r="K69" s="67"/>
      <c r="L69" s="227">
        <f t="shared" si="3"/>
        <v>65</v>
      </c>
      <c r="O69" s="42"/>
      <c r="P69" s="43"/>
      <c r="Q69" s="43"/>
      <c r="R69" s="43"/>
      <c r="S69" s="44"/>
      <c r="T69" s="186"/>
    </row>
    <row r="70" spans="2:20" ht="15" x14ac:dyDescent="0.2">
      <c r="B70" s="228" t="str">
        <f t="shared" si="19"/>
        <v>חודשים</v>
      </c>
      <c r="C70" s="45" t="str">
        <f>'מק"ט'!$C$3&amp;VLOOKUP(G70,'מק"ט'!$D$2:$E$9,2,FALSE)&amp;VLOOKUP(E70,'מק"ט'!$F$2:$G$9,2,FALSE)&amp;D70</f>
        <v>76140301</v>
      </c>
      <c r="D70" s="46" t="s">
        <v>167</v>
      </c>
      <c r="E70" s="73" t="s">
        <v>168</v>
      </c>
      <c r="F70" s="74" t="s">
        <v>80</v>
      </c>
      <c r="G70" s="49" t="s">
        <v>24</v>
      </c>
      <c r="H70" s="75"/>
      <c r="I70" s="75"/>
      <c r="J70" s="75"/>
      <c r="K70" s="67"/>
      <c r="L70" s="227">
        <f t="shared" si="3"/>
        <v>65</v>
      </c>
      <c r="O70" s="42"/>
      <c r="P70" s="43"/>
      <c r="Q70" s="43"/>
      <c r="R70" s="43"/>
      <c r="S70" s="44"/>
      <c r="T70" s="186"/>
    </row>
    <row r="71" spans="2:20" ht="15" x14ac:dyDescent="0.2">
      <c r="B71" s="228" t="str">
        <f t="shared" si="19"/>
        <v>עונתי גלובלי</v>
      </c>
      <c r="C71" s="45" t="str">
        <f>'מק"ט'!$C$3&amp;VLOOKUP(G71,'מק"ט'!$D$2:$E$9,2,FALSE)&amp;VLOOKUP(E71,'מק"ט'!$F$2:$G$9,2,FALSE)&amp;D71</f>
        <v>76150301</v>
      </c>
      <c r="D71" s="46" t="s">
        <v>167</v>
      </c>
      <c r="E71" s="73" t="s">
        <v>168</v>
      </c>
      <c r="F71" s="74" t="s">
        <v>80</v>
      </c>
      <c r="G71" s="49" t="s">
        <v>23</v>
      </c>
      <c r="H71" s="75"/>
      <c r="I71" s="75"/>
      <c r="J71" s="75"/>
      <c r="K71" s="67"/>
      <c r="L71" s="227">
        <f t="shared" si="3"/>
        <v>65</v>
      </c>
      <c r="O71" s="42"/>
      <c r="P71" s="43"/>
      <c r="Q71" s="43"/>
      <c r="R71" s="43"/>
      <c r="S71" s="44"/>
      <c r="T71" s="186"/>
    </row>
    <row r="72" spans="2:20" ht="15" customHeight="1" x14ac:dyDescent="0.2">
      <c r="B72" s="32" t="str">
        <f t="shared" si="0"/>
        <v>תכניות/פרקים</v>
      </c>
      <c r="C72" s="45" t="str">
        <f>'מק"ט'!$C$3&amp;VLOOKUP(G72,'מק"ט'!$D$2:$E$9,2,FALSE)&amp;VLOOKUP(E72,'מק"ט'!$F$2:$G$9,2,FALSE)&amp;D72</f>
        <v>76110302</v>
      </c>
      <c r="D72" s="76" t="s">
        <v>163</v>
      </c>
      <c r="E72" s="77" t="s">
        <v>168</v>
      </c>
      <c r="F72" s="78" t="s">
        <v>81</v>
      </c>
      <c r="G72" s="55" t="s">
        <v>25</v>
      </c>
      <c r="H72" s="68"/>
      <c r="I72" s="68"/>
      <c r="J72" s="56"/>
      <c r="K72" s="64"/>
      <c r="L72" s="227">
        <f t="shared" si="3"/>
        <v>70</v>
      </c>
      <c r="O72" s="42">
        <f>IFERROR(VLOOKUP(C72,תקציב!$D$22:$J$177,6,0),0)</f>
        <v>0</v>
      </c>
      <c r="P72" s="43">
        <f>IFERROR(VLOOKUP(C72,תקציב!$D$22:$J$177,5,0),0)</f>
        <v>0</v>
      </c>
      <c r="Q72" s="43">
        <f>IF(ISNUMBER(VLOOKUP(C72,תקציב!$D$22:$J$177,3,FALSE)),VLOOKUP(C72,תקציב!$D$22:$J$177,3,FALSE),1)</f>
        <v>1</v>
      </c>
      <c r="R72" s="43">
        <f t="shared" si="1"/>
        <v>0</v>
      </c>
      <c r="S72" s="44">
        <f t="shared" si="2"/>
        <v>0</v>
      </c>
      <c r="T72" s="186">
        <f>IFERROR(VLOOKUP(C72,תקציב!$D$22:$K$177,7,FALSE),0)-S72</f>
        <v>0</v>
      </c>
    </row>
    <row r="73" spans="2:20" ht="15" customHeight="1" x14ac:dyDescent="0.2">
      <c r="B73" s="32" t="str">
        <f t="shared" si="0"/>
        <v>ימים</v>
      </c>
      <c r="C73" s="45" t="str">
        <f>'מק"ט'!$C$3&amp;VLOOKUP(G73,'מק"ט'!$D$2:$E$9,2,FALSE)&amp;VLOOKUP(E73,'מק"ט'!$F$2:$G$9,2,FALSE)&amp;D73</f>
        <v>76120302</v>
      </c>
      <c r="D73" s="60" t="s">
        <v>163</v>
      </c>
      <c r="E73" s="77" t="s">
        <v>168</v>
      </c>
      <c r="F73" s="78" t="s">
        <v>81</v>
      </c>
      <c r="G73" s="55" t="s">
        <v>21</v>
      </c>
      <c r="H73" s="68"/>
      <c r="I73" s="68"/>
      <c r="J73" s="68"/>
      <c r="K73" s="64"/>
      <c r="L73" s="227">
        <f t="shared" si="3"/>
        <v>70</v>
      </c>
      <c r="O73" s="42">
        <f>IFERROR(VLOOKUP(C73,תקציב!$D$22:$J$177,6,0),0)</f>
        <v>0</v>
      </c>
      <c r="P73" s="43">
        <f>IFERROR(VLOOKUP(C73,תקציב!$D$22:$J$177,5,0),0)</f>
        <v>0</v>
      </c>
      <c r="Q73" s="43">
        <f>IF(ISNUMBER(VLOOKUP(C73,תקציב!$D$22:$J$177,3,FALSE)),VLOOKUP(C73,תקציב!$D$22:$J$177,3,FALSE),1)</f>
        <v>1</v>
      </c>
      <c r="R73" s="43">
        <f t="shared" si="1"/>
        <v>0</v>
      </c>
      <c r="S73" s="44">
        <f t="shared" si="2"/>
        <v>0</v>
      </c>
      <c r="T73" s="186">
        <f>IFERROR(VLOOKUP(C73,תקציב!$D$22:$K$177,7,FALSE),0)-S73</f>
        <v>0</v>
      </c>
    </row>
    <row r="74" spans="2:20" ht="15" customHeight="1" x14ac:dyDescent="0.2">
      <c r="B74" s="32" t="str">
        <f t="shared" ref="B74:B76" si="20">G74</f>
        <v>שבועות</v>
      </c>
      <c r="C74" s="45" t="str">
        <f>'מק"ט'!$C$3&amp;VLOOKUP(G74,'מק"ט'!$D$2:$E$9,2,FALSE)&amp;VLOOKUP(E74,'מק"ט'!$F$2:$G$9,2,FALSE)&amp;D74</f>
        <v>76130302</v>
      </c>
      <c r="D74" s="76" t="s">
        <v>163</v>
      </c>
      <c r="E74" s="77" t="s">
        <v>168</v>
      </c>
      <c r="F74" s="78" t="s">
        <v>81</v>
      </c>
      <c r="G74" s="55" t="s">
        <v>26</v>
      </c>
      <c r="H74" s="68"/>
      <c r="I74" s="68"/>
      <c r="J74" s="68"/>
      <c r="K74" s="64"/>
      <c r="L74" s="227">
        <f t="shared" si="3"/>
        <v>70</v>
      </c>
      <c r="O74" s="42"/>
      <c r="P74" s="43"/>
      <c r="Q74" s="43"/>
      <c r="R74" s="43"/>
      <c r="S74" s="44"/>
      <c r="T74" s="186"/>
    </row>
    <row r="75" spans="2:20" ht="15" customHeight="1" x14ac:dyDescent="0.2">
      <c r="B75" s="32" t="str">
        <f t="shared" si="20"/>
        <v>חודשים</v>
      </c>
      <c r="C75" s="45" t="str">
        <f>'מק"ט'!$C$3&amp;VLOOKUP(G75,'מק"ט'!$D$2:$E$9,2,FALSE)&amp;VLOOKUP(E75,'מק"ט'!$F$2:$G$9,2,FALSE)&amp;D75</f>
        <v>76140302</v>
      </c>
      <c r="D75" s="60" t="s">
        <v>163</v>
      </c>
      <c r="E75" s="77" t="s">
        <v>168</v>
      </c>
      <c r="F75" s="78" t="s">
        <v>81</v>
      </c>
      <c r="G75" s="55" t="s">
        <v>24</v>
      </c>
      <c r="H75" s="68"/>
      <c r="I75" s="68"/>
      <c r="J75" s="68"/>
      <c r="K75" s="64"/>
      <c r="L75" s="227">
        <f t="shared" si="3"/>
        <v>70</v>
      </c>
      <c r="O75" s="42"/>
      <c r="P75" s="43"/>
      <c r="Q75" s="43"/>
      <c r="R75" s="43"/>
      <c r="S75" s="44"/>
      <c r="T75" s="186"/>
    </row>
    <row r="76" spans="2:20" ht="15" customHeight="1" x14ac:dyDescent="0.2">
      <c r="B76" s="32" t="str">
        <f t="shared" si="20"/>
        <v>עונתי גלובלי</v>
      </c>
      <c r="C76" s="45" t="str">
        <f>'מק"ט'!$C$3&amp;VLOOKUP(G76,'מק"ט'!$D$2:$E$9,2,FALSE)&amp;VLOOKUP(E76,'מק"ט'!$F$2:$G$9,2,FALSE)&amp;D76</f>
        <v>76150302</v>
      </c>
      <c r="D76" s="76" t="s">
        <v>163</v>
      </c>
      <c r="E76" s="77" t="s">
        <v>168</v>
      </c>
      <c r="F76" s="78" t="s">
        <v>81</v>
      </c>
      <c r="G76" s="55" t="s">
        <v>23</v>
      </c>
      <c r="H76" s="68"/>
      <c r="I76" s="68"/>
      <c r="J76" s="68"/>
      <c r="K76" s="64"/>
      <c r="L76" s="227">
        <f t="shared" si="3"/>
        <v>70</v>
      </c>
      <c r="O76" s="42"/>
      <c r="P76" s="43"/>
      <c r="Q76" s="43"/>
      <c r="R76" s="43"/>
      <c r="S76" s="44"/>
      <c r="T76" s="186"/>
    </row>
    <row r="77" spans="2:20" ht="15" customHeight="1" x14ac:dyDescent="0.2">
      <c r="B77" s="32" t="str">
        <f t="shared" si="0"/>
        <v>תכניות/פרקים</v>
      </c>
      <c r="C77" s="45" t="str">
        <f>'מק"ט'!$C$3&amp;VLOOKUP(G77,'מק"ט'!$D$2:$E$9,2,FALSE)&amp;VLOOKUP(E77,'מק"ט'!$F$2:$G$9,2,FALSE)&amp;D77</f>
        <v>76110303</v>
      </c>
      <c r="D77" s="46" t="s">
        <v>164</v>
      </c>
      <c r="E77" s="73" t="s">
        <v>168</v>
      </c>
      <c r="F77" s="74" t="s">
        <v>82</v>
      </c>
      <c r="G77" s="49" t="s">
        <v>25</v>
      </c>
      <c r="H77" s="75"/>
      <c r="I77" s="75"/>
      <c r="J77" s="75"/>
      <c r="K77" s="67"/>
      <c r="L77" s="227">
        <f t="shared" si="3"/>
        <v>75</v>
      </c>
      <c r="O77" s="42">
        <f>IFERROR(VLOOKUP(C77,תקציב!$D$22:$J$177,6,0),0)</f>
        <v>0</v>
      </c>
      <c r="P77" s="43">
        <f>IFERROR(VLOOKUP(C77,תקציב!$D$22:$J$177,5,0),0)</f>
        <v>0</v>
      </c>
      <c r="Q77" s="43">
        <f>IF(ISNUMBER(VLOOKUP(C77,תקציב!$D$22:$J$177,3,FALSE)),VLOOKUP(C77,תקציב!$D$22:$J$177,3,FALSE),1)</f>
        <v>1</v>
      </c>
      <c r="R77" s="43">
        <f t="shared" si="1"/>
        <v>0</v>
      </c>
      <c r="S77" s="44">
        <f t="shared" si="2"/>
        <v>0</v>
      </c>
      <c r="T77" s="186">
        <f>IFERROR(VLOOKUP(C77,תקציב!$D$22:$K$177,7,FALSE),0)-S77</f>
        <v>0</v>
      </c>
    </row>
    <row r="78" spans="2:20" ht="15" customHeight="1" x14ac:dyDescent="0.2">
      <c r="B78" s="32" t="str">
        <f t="shared" si="0"/>
        <v>ימים</v>
      </c>
      <c r="C78" s="45" t="str">
        <f>'מק"ט'!$C$3&amp;VLOOKUP(G78,'מק"ט'!$D$2:$E$9,2,FALSE)&amp;VLOOKUP(E78,'מק"ט'!$F$2:$G$9,2,FALSE)&amp;D78</f>
        <v>76120303</v>
      </c>
      <c r="D78" s="46" t="s">
        <v>164</v>
      </c>
      <c r="E78" s="73" t="s">
        <v>168</v>
      </c>
      <c r="F78" s="74" t="s">
        <v>82</v>
      </c>
      <c r="G78" s="49" t="s">
        <v>21</v>
      </c>
      <c r="H78" s="75"/>
      <c r="I78" s="75"/>
      <c r="J78" s="75"/>
      <c r="K78" s="67"/>
      <c r="L78" s="227">
        <f t="shared" si="3"/>
        <v>75</v>
      </c>
      <c r="O78" s="42">
        <f>IFERROR(VLOOKUP(C78,תקציב!$D$22:$J$177,6,0),0)</f>
        <v>0</v>
      </c>
      <c r="P78" s="43">
        <f>IFERROR(VLOOKUP(C78,תקציב!$D$22:$J$177,5,0),0)</f>
        <v>0</v>
      </c>
      <c r="Q78" s="43">
        <f>IF(ISNUMBER(VLOOKUP(C78,תקציב!$D$22:$J$177,3,FALSE)),VLOOKUP(C78,תקציב!$D$22:$J$177,3,FALSE),1)</f>
        <v>1</v>
      </c>
      <c r="R78" s="43">
        <f t="shared" si="1"/>
        <v>0</v>
      </c>
      <c r="S78" s="44">
        <f t="shared" si="2"/>
        <v>0</v>
      </c>
      <c r="T78" s="186">
        <f>IFERROR(VLOOKUP(C78,תקציב!$D$22:$K$177,7,FALSE),0)-S78</f>
        <v>0</v>
      </c>
    </row>
    <row r="79" spans="2:20" ht="15" customHeight="1" x14ac:dyDescent="0.2">
      <c r="B79" s="32" t="str">
        <f t="shared" ref="B79:B81" si="21">G79</f>
        <v>שבועות</v>
      </c>
      <c r="C79" s="45" t="str">
        <f>'מק"ט'!$C$3&amp;VLOOKUP(G79,'מק"ט'!$D$2:$E$9,2,FALSE)&amp;VLOOKUP(E79,'מק"ט'!$F$2:$G$9,2,FALSE)&amp;D79</f>
        <v>76130303</v>
      </c>
      <c r="D79" s="46" t="s">
        <v>164</v>
      </c>
      <c r="E79" s="73" t="s">
        <v>168</v>
      </c>
      <c r="F79" s="74" t="s">
        <v>82</v>
      </c>
      <c r="G79" s="49" t="s">
        <v>26</v>
      </c>
      <c r="H79" s="75"/>
      <c r="I79" s="75"/>
      <c r="J79" s="75"/>
      <c r="K79" s="67"/>
      <c r="L79" s="227">
        <f t="shared" si="3"/>
        <v>75</v>
      </c>
      <c r="O79" s="42"/>
      <c r="P79" s="43"/>
      <c r="Q79" s="43"/>
      <c r="R79" s="43"/>
      <c r="S79" s="44"/>
      <c r="T79" s="186"/>
    </row>
    <row r="80" spans="2:20" ht="15" customHeight="1" x14ac:dyDescent="0.2">
      <c r="B80" s="32" t="str">
        <f t="shared" si="21"/>
        <v>חודשים</v>
      </c>
      <c r="C80" s="45" t="str">
        <f>'מק"ט'!$C$3&amp;VLOOKUP(G80,'מק"ט'!$D$2:$E$9,2,FALSE)&amp;VLOOKUP(E80,'מק"ט'!$F$2:$G$9,2,FALSE)&amp;D80</f>
        <v>76140303</v>
      </c>
      <c r="D80" s="46" t="s">
        <v>164</v>
      </c>
      <c r="E80" s="73" t="s">
        <v>168</v>
      </c>
      <c r="F80" s="74" t="s">
        <v>82</v>
      </c>
      <c r="G80" s="49" t="s">
        <v>24</v>
      </c>
      <c r="H80" s="75"/>
      <c r="I80" s="75"/>
      <c r="J80" s="75"/>
      <c r="K80" s="67"/>
      <c r="L80" s="227">
        <f t="shared" si="3"/>
        <v>75</v>
      </c>
      <c r="O80" s="42"/>
      <c r="P80" s="43"/>
      <c r="Q80" s="43"/>
      <c r="R80" s="43"/>
      <c r="S80" s="44"/>
      <c r="T80" s="186"/>
    </row>
    <row r="81" spans="2:25" ht="15" customHeight="1" x14ac:dyDescent="0.2">
      <c r="B81" s="32" t="str">
        <f t="shared" si="21"/>
        <v>עונתי גלובלי</v>
      </c>
      <c r="C81" s="45" t="str">
        <f>'מק"ט'!$C$3&amp;VLOOKUP(G81,'מק"ט'!$D$2:$E$9,2,FALSE)&amp;VLOOKUP(E81,'מק"ט'!$F$2:$G$9,2,FALSE)&amp;D81</f>
        <v>76150303</v>
      </c>
      <c r="D81" s="46" t="s">
        <v>164</v>
      </c>
      <c r="E81" s="73" t="s">
        <v>168</v>
      </c>
      <c r="F81" s="74" t="s">
        <v>82</v>
      </c>
      <c r="G81" s="49" t="s">
        <v>23</v>
      </c>
      <c r="H81" s="75"/>
      <c r="I81" s="75"/>
      <c r="J81" s="75"/>
      <c r="K81" s="67"/>
      <c r="L81" s="227">
        <f t="shared" si="3"/>
        <v>75</v>
      </c>
      <c r="O81" s="42"/>
      <c r="P81" s="43"/>
      <c r="Q81" s="43"/>
      <c r="R81" s="43"/>
      <c r="S81" s="44"/>
      <c r="T81" s="186"/>
    </row>
    <row r="82" spans="2:25" ht="15" customHeight="1" x14ac:dyDescent="0.2">
      <c r="B82" s="32" t="str">
        <f t="shared" si="0"/>
        <v>תכניות/פרקים</v>
      </c>
      <c r="C82" s="45" t="str">
        <f>'מק"ט'!$C$3&amp;VLOOKUP(G82,'מק"ט'!$D$2:$E$9,2,FALSE)&amp;VLOOKUP(E82,'מק"ט'!$F$2:$G$9,2,FALSE)&amp;D82</f>
        <v>76110304</v>
      </c>
      <c r="D82" s="76" t="s">
        <v>165</v>
      </c>
      <c r="E82" s="77" t="s">
        <v>168</v>
      </c>
      <c r="F82" s="79" t="s">
        <v>83</v>
      </c>
      <c r="G82" s="55" t="s">
        <v>25</v>
      </c>
      <c r="H82" s="68"/>
      <c r="I82" s="55"/>
      <c r="J82" s="56"/>
      <c r="K82" s="64"/>
      <c r="L82" s="227">
        <f t="shared" si="3"/>
        <v>80</v>
      </c>
      <c r="O82" s="42">
        <f>IFERROR(VLOOKUP(C82,תקציב!$D$22:$J$177,6,0),0)</f>
        <v>0</v>
      </c>
      <c r="P82" s="43">
        <f>IFERROR(VLOOKUP(C82,תקציב!$D$22:$J$177,5,0),0)</f>
        <v>0</v>
      </c>
      <c r="Q82" s="43">
        <f>IF(ISNUMBER(VLOOKUP(C82,תקציב!$D$22:$J$177,3,FALSE)),VLOOKUP(C82,תקציב!$D$22:$J$177,3,FALSE),1)</f>
        <v>1</v>
      </c>
      <c r="R82" s="43">
        <f t="shared" si="1"/>
        <v>0</v>
      </c>
      <c r="S82" s="44">
        <f t="shared" si="2"/>
        <v>0</v>
      </c>
      <c r="T82" s="186">
        <f>IFERROR(VLOOKUP(C82,תקציב!$D$22:$K$177,7,FALSE),0)-S82</f>
        <v>0</v>
      </c>
    </row>
    <row r="83" spans="2:25" ht="15" customHeight="1" x14ac:dyDescent="0.2">
      <c r="B83" s="32" t="str">
        <f t="shared" si="0"/>
        <v>ימים</v>
      </c>
      <c r="C83" s="45" t="str">
        <f>'מק"ט'!$C$3&amp;VLOOKUP(G83,'מק"ט'!$D$2:$E$9,2,FALSE)&amp;VLOOKUP(E83,'מק"ט'!$F$2:$G$9,2,FALSE)&amp;D83</f>
        <v>76120304</v>
      </c>
      <c r="D83" s="76" t="s">
        <v>165</v>
      </c>
      <c r="E83" s="77" t="s">
        <v>168</v>
      </c>
      <c r="F83" s="79" t="s">
        <v>83</v>
      </c>
      <c r="G83" s="55" t="s">
        <v>21</v>
      </c>
      <c r="H83" s="68"/>
      <c r="I83" s="55"/>
      <c r="J83" s="68"/>
      <c r="K83" s="64"/>
      <c r="L83" s="227">
        <f t="shared" si="3"/>
        <v>80</v>
      </c>
      <c r="O83" s="42">
        <f>IFERROR(VLOOKUP(C83,תקציב!$D$22:$J$177,6,0),0)</f>
        <v>0</v>
      </c>
      <c r="P83" s="43">
        <f>IFERROR(VLOOKUP(C83,תקציב!$D$22:$J$177,5,0),0)</f>
        <v>0</v>
      </c>
      <c r="Q83" s="43">
        <f>IF(ISNUMBER(VLOOKUP(C83,תקציב!$D$22:$J$177,3,FALSE)),VLOOKUP(C83,תקציב!$D$22:$J$177,3,FALSE),1)</f>
        <v>1</v>
      </c>
      <c r="R83" s="43">
        <f t="shared" si="1"/>
        <v>0</v>
      </c>
      <c r="S83" s="44">
        <f t="shared" si="2"/>
        <v>0</v>
      </c>
      <c r="T83" s="186">
        <f>IFERROR(VLOOKUP(C83,תקציב!$D$22:$K$177,7,FALSE),0)-S83</f>
        <v>0</v>
      </c>
    </row>
    <row r="84" spans="2:25" ht="15" customHeight="1" x14ac:dyDescent="0.2">
      <c r="B84" s="32" t="str">
        <f t="shared" si="0"/>
        <v>שבועות</v>
      </c>
      <c r="C84" s="45" t="str">
        <f>'מק"ט'!$C$3&amp;VLOOKUP(G84,'מק"ט'!$D$2:$E$9,2,FALSE)&amp;VLOOKUP(E84,'מק"ט'!$F$2:$G$9,2,FALSE)&amp;D84</f>
        <v>76130304</v>
      </c>
      <c r="D84" s="76" t="s">
        <v>165</v>
      </c>
      <c r="E84" s="77" t="s">
        <v>168</v>
      </c>
      <c r="F84" s="79" t="s">
        <v>83</v>
      </c>
      <c r="G84" s="55" t="s">
        <v>26</v>
      </c>
      <c r="H84" s="68"/>
      <c r="I84" s="55"/>
      <c r="J84" s="68"/>
      <c r="K84" s="64"/>
      <c r="L84" s="227">
        <f t="shared" si="3"/>
        <v>80</v>
      </c>
      <c r="O84" s="42">
        <f>IFERROR(VLOOKUP(C84,תקציב!$D$22:$J$177,6,0),0)</f>
        <v>0</v>
      </c>
      <c r="P84" s="43">
        <f>IFERROR(VLOOKUP(C84,תקציב!$D$22:$J$177,5,0),0)</f>
        <v>0</v>
      </c>
      <c r="Q84" s="43">
        <f>IF(ISNUMBER(VLOOKUP(C84,תקציב!$D$22:$J$177,3,FALSE)),VLOOKUP(C84,תקציב!$D$22:$J$177,3,FALSE),1)</f>
        <v>1</v>
      </c>
      <c r="R84" s="43">
        <f t="shared" si="1"/>
        <v>0</v>
      </c>
      <c r="S84" s="44">
        <f t="shared" si="2"/>
        <v>0</v>
      </c>
      <c r="T84" s="186">
        <f>IFERROR(VLOOKUP(C84,תקציב!$D$22:$K$177,7,FALSE),0)-S84</f>
        <v>0</v>
      </c>
    </row>
    <row r="85" spans="2:25" ht="15" customHeight="1" x14ac:dyDescent="0.2">
      <c r="B85" s="32" t="str">
        <f t="shared" ref="B85:B86" si="22">G85</f>
        <v>חודשים</v>
      </c>
      <c r="C85" s="45" t="str">
        <f>'מק"ט'!$C$3&amp;VLOOKUP(G85,'מק"ט'!$D$2:$E$9,2,FALSE)&amp;VLOOKUP(E85,'מק"ט'!$F$2:$G$9,2,FALSE)&amp;D85</f>
        <v>76140304</v>
      </c>
      <c r="D85" s="76" t="s">
        <v>165</v>
      </c>
      <c r="E85" s="77" t="s">
        <v>168</v>
      </c>
      <c r="F85" s="79" t="s">
        <v>83</v>
      </c>
      <c r="G85" s="55" t="s">
        <v>24</v>
      </c>
      <c r="H85" s="68"/>
      <c r="I85" s="55"/>
      <c r="J85" s="68"/>
      <c r="K85" s="64"/>
      <c r="L85" s="227">
        <f t="shared" si="3"/>
        <v>80</v>
      </c>
      <c r="O85" s="42"/>
      <c r="P85" s="43"/>
      <c r="Q85" s="43"/>
      <c r="R85" s="43"/>
      <c r="S85" s="44"/>
      <c r="T85" s="186"/>
    </row>
    <row r="86" spans="2:25" ht="15" customHeight="1" x14ac:dyDescent="0.2">
      <c r="B86" s="32" t="str">
        <f t="shared" si="22"/>
        <v>עונתי גלובלי</v>
      </c>
      <c r="C86" s="45" t="str">
        <f>'מק"ט'!$C$3&amp;VLOOKUP(G86,'מק"ט'!$D$2:$E$9,2,FALSE)&amp;VLOOKUP(E86,'מק"ט'!$F$2:$G$9,2,FALSE)&amp;D86</f>
        <v>76150304</v>
      </c>
      <c r="D86" s="76" t="s">
        <v>165</v>
      </c>
      <c r="E86" s="77" t="s">
        <v>168</v>
      </c>
      <c r="F86" s="79" t="s">
        <v>83</v>
      </c>
      <c r="G86" s="55" t="s">
        <v>23</v>
      </c>
      <c r="H86" s="68"/>
      <c r="I86" s="55"/>
      <c r="J86" s="68"/>
      <c r="K86" s="64"/>
      <c r="L86" s="227">
        <f t="shared" si="3"/>
        <v>80</v>
      </c>
      <c r="O86" s="42"/>
      <c r="P86" s="43"/>
      <c r="Q86" s="43"/>
      <c r="R86" s="43"/>
      <c r="S86" s="44"/>
      <c r="T86" s="186"/>
    </row>
    <row r="87" spans="2:25" ht="15" x14ac:dyDescent="0.2">
      <c r="B87" s="32" t="str">
        <f t="shared" si="0"/>
        <v>תכניות/פרקים</v>
      </c>
      <c r="C87" s="45" t="str">
        <f>'מק"ט'!$C$3&amp;VLOOKUP(G87,'מק"ט'!$D$2:$E$9,2,FALSE)&amp;VLOOKUP(E87,'מק"ט'!$F$2:$G$9,2,FALSE)&amp;D87</f>
        <v>76110305</v>
      </c>
      <c r="D87" s="46" t="s">
        <v>169</v>
      </c>
      <c r="E87" s="73" t="s">
        <v>168</v>
      </c>
      <c r="F87" s="80" t="s">
        <v>10</v>
      </c>
      <c r="G87" s="49" t="s">
        <v>25</v>
      </c>
      <c r="H87" s="75"/>
      <c r="I87" s="75"/>
      <c r="J87" s="75"/>
      <c r="K87" s="67"/>
      <c r="L87" s="227">
        <f t="shared" si="3"/>
        <v>85</v>
      </c>
      <c r="O87" s="42">
        <f>IFERROR(VLOOKUP(C87,תקציב!$D$22:$J$177,6,0),0)</f>
        <v>0</v>
      </c>
      <c r="P87" s="43">
        <f>IFERROR(VLOOKUP(C87,תקציב!$D$22:$J$177,5,0),0)</f>
        <v>0</v>
      </c>
      <c r="Q87" s="43">
        <f>IF(ISNUMBER(VLOOKUP(C87,תקציב!$D$22:$J$177,3,FALSE)),VLOOKUP(C87,תקציב!$D$22:$J$177,3,FALSE),1)</f>
        <v>1</v>
      </c>
      <c r="R87" s="43">
        <f t="shared" si="1"/>
        <v>0</v>
      </c>
      <c r="S87" s="44">
        <f t="shared" si="2"/>
        <v>0</v>
      </c>
      <c r="T87" s="186">
        <f>IFERROR(VLOOKUP(C87,תקציב!$D$22:$K$177,7,FALSE),0)-S87</f>
        <v>0</v>
      </c>
    </row>
    <row r="88" spans="2:25" ht="15" x14ac:dyDescent="0.2">
      <c r="B88" s="32" t="str">
        <f t="shared" si="0"/>
        <v>ימים</v>
      </c>
      <c r="C88" s="45" t="str">
        <f>'מק"ט'!$C$3&amp;VLOOKUP(G88,'מק"ט'!$D$2:$E$9,2,FALSE)&amp;VLOOKUP(E88,'מק"ט'!$F$2:$G$9,2,FALSE)&amp;D88</f>
        <v>76120305</v>
      </c>
      <c r="D88" s="46" t="s">
        <v>169</v>
      </c>
      <c r="E88" s="73" t="s">
        <v>168</v>
      </c>
      <c r="F88" s="80" t="s">
        <v>10</v>
      </c>
      <c r="G88" s="49" t="s">
        <v>21</v>
      </c>
      <c r="H88" s="75"/>
      <c r="I88" s="75"/>
      <c r="J88" s="75"/>
      <c r="K88" s="67"/>
      <c r="L88" s="227">
        <f t="shared" si="3"/>
        <v>85</v>
      </c>
      <c r="O88" s="42">
        <f>IFERROR(VLOOKUP(C88,תקציב!$D$22:$J$177,6,0),0)</f>
        <v>0</v>
      </c>
      <c r="P88" s="43">
        <f>IFERROR(VLOOKUP(C88,תקציב!$D$22:$J$177,5,0),0)</f>
        <v>0</v>
      </c>
      <c r="Q88" s="43">
        <f>IF(ISNUMBER(VLOOKUP(C88,תקציב!$D$22:$J$177,3,FALSE)),VLOOKUP(C88,תקציב!$D$22:$J$177,3,FALSE),1)</f>
        <v>1</v>
      </c>
      <c r="R88" s="43">
        <f t="shared" si="1"/>
        <v>0</v>
      </c>
      <c r="S88" s="44">
        <f t="shared" si="2"/>
        <v>0</v>
      </c>
      <c r="T88" s="186">
        <f>IFERROR(VLOOKUP(C88,תקציב!$D$22:$K$177,7,FALSE),0)-S88</f>
        <v>0</v>
      </c>
    </row>
    <row r="89" spans="2:25" ht="15" x14ac:dyDescent="0.2">
      <c r="B89" s="32" t="str">
        <f t="shared" ref="B89:B91" si="23">G89</f>
        <v>שבועות</v>
      </c>
      <c r="C89" s="45" t="str">
        <f>'מק"ט'!$C$3&amp;VLOOKUP(G89,'מק"ט'!$D$2:$E$9,2,FALSE)&amp;VLOOKUP(E89,'מק"ט'!$F$2:$G$9,2,FALSE)&amp;D89</f>
        <v>76130305</v>
      </c>
      <c r="D89" s="46" t="s">
        <v>169</v>
      </c>
      <c r="E89" s="73" t="s">
        <v>168</v>
      </c>
      <c r="F89" s="80" t="s">
        <v>10</v>
      </c>
      <c r="G89" s="49" t="s">
        <v>26</v>
      </c>
      <c r="H89" s="75"/>
      <c r="I89" s="75"/>
      <c r="J89" s="75"/>
      <c r="K89" s="67"/>
      <c r="L89" s="227">
        <f t="shared" si="3"/>
        <v>85</v>
      </c>
      <c r="O89" s="42"/>
      <c r="P89" s="43"/>
      <c r="Q89" s="43"/>
      <c r="R89" s="43"/>
      <c r="S89" s="44"/>
      <c r="T89" s="186"/>
    </row>
    <row r="90" spans="2:25" ht="15" x14ac:dyDescent="0.2">
      <c r="B90" s="32" t="str">
        <f t="shared" si="23"/>
        <v>חודשים</v>
      </c>
      <c r="C90" s="45" t="str">
        <f>'מק"ט'!$C$3&amp;VLOOKUP(G90,'מק"ט'!$D$2:$E$9,2,FALSE)&amp;VLOOKUP(E90,'מק"ט'!$F$2:$G$9,2,FALSE)&amp;D90</f>
        <v>76140305</v>
      </c>
      <c r="D90" s="46" t="s">
        <v>169</v>
      </c>
      <c r="E90" s="73" t="s">
        <v>168</v>
      </c>
      <c r="F90" s="80" t="s">
        <v>10</v>
      </c>
      <c r="G90" s="49" t="s">
        <v>24</v>
      </c>
      <c r="H90" s="75"/>
      <c r="I90" s="75"/>
      <c r="J90" s="75"/>
      <c r="K90" s="67"/>
      <c r="L90" s="227">
        <f t="shared" si="3"/>
        <v>85</v>
      </c>
      <c r="O90" s="42"/>
      <c r="P90" s="43"/>
      <c r="Q90" s="43"/>
      <c r="R90" s="43"/>
      <c r="S90" s="44"/>
      <c r="T90" s="186"/>
    </row>
    <row r="91" spans="2:25" ht="15" x14ac:dyDescent="0.2">
      <c r="B91" s="32" t="str">
        <f t="shared" si="23"/>
        <v>עונתי גלובלי</v>
      </c>
      <c r="C91" s="45" t="str">
        <f>'מק"ט'!$C$3&amp;VLOOKUP(G91,'מק"ט'!$D$2:$E$9,2,FALSE)&amp;VLOOKUP(E91,'מק"ט'!$F$2:$G$9,2,FALSE)&amp;D91</f>
        <v>76150305</v>
      </c>
      <c r="D91" s="46" t="s">
        <v>169</v>
      </c>
      <c r="E91" s="73" t="s">
        <v>168</v>
      </c>
      <c r="F91" s="80" t="s">
        <v>10</v>
      </c>
      <c r="G91" s="49" t="s">
        <v>23</v>
      </c>
      <c r="H91" s="75"/>
      <c r="I91" s="75"/>
      <c r="J91" s="75"/>
      <c r="K91" s="67"/>
      <c r="L91" s="227">
        <f t="shared" si="3"/>
        <v>85</v>
      </c>
      <c r="O91" s="42"/>
      <c r="P91" s="43"/>
      <c r="Q91" s="43"/>
      <c r="R91" s="43"/>
      <c r="S91" s="44"/>
      <c r="T91" s="186"/>
    </row>
    <row r="92" spans="2:25" ht="15" customHeight="1" x14ac:dyDescent="0.2">
      <c r="B92" s="228" t="str">
        <f t="shared" si="0"/>
        <v>תכניות/פרקים</v>
      </c>
      <c r="C92" s="45" t="str">
        <f>'מק"ט'!$C$3&amp;VLOOKUP(G92,'מק"ט'!$D$2:$E$9,2,FALSE)&amp;VLOOKUP(E92,'מק"ט'!$F$2:$G$9,2,FALSE)&amp;D92</f>
        <v>76110306</v>
      </c>
      <c r="D92" s="76" t="s">
        <v>170</v>
      </c>
      <c r="E92" s="77" t="s">
        <v>168</v>
      </c>
      <c r="F92" s="78" t="s">
        <v>19</v>
      </c>
      <c r="G92" s="55" t="s">
        <v>25</v>
      </c>
      <c r="H92" s="68"/>
      <c r="I92" s="68"/>
      <c r="J92" s="68"/>
      <c r="K92" s="64"/>
      <c r="L92" s="227">
        <f t="shared" si="3"/>
        <v>90</v>
      </c>
      <c r="O92" s="42">
        <f>IFERROR(VLOOKUP(C92,תקציב!$D$22:$J$177,6,0),0)</f>
        <v>0</v>
      </c>
      <c r="P92" s="43">
        <f>IFERROR(VLOOKUP(C92,תקציב!$D$22:$J$177,5,0),0)</f>
        <v>0</v>
      </c>
      <c r="Q92" s="43">
        <f>IF(ISNUMBER(VLOOKUP(C92,תקציב!$D$22:$J$177,3,FALSE)),VLOOKUP(C92,תקציב!$D$22:$J$177,3,FALSE),1)</f>
        <v>1</v>
      </c>
      <c r="R92" s="43">
        <f t="shared" si="1"/>
        <v>0</v>
      </c>
      <c r="S92" s="44">
        <f t="shared" si="2"/>
        <v>0</v>
      </c>
      <c r="T92" s="186">
        <f>IFERROR(VLOOKUP(C92,תקציב!$D$22:$K$177,7,FALSE),0)-S92</f>
        <v>0</v>
      </c>
      <c r="Y92" s="81"/>
    </row>
    <row r="93" spans="2:25" ht="15" customHeight="1" x14ac:dyDescent="0.2">
      <c r="B93" s="228" t="str">
        <f t="shared" si="0"/>
        <v>ימים</v>
      </c>
      <c r="C93" s="45" t="str">
        <f>'מק"ט'!$C$3&amp;VLOOKUP(G93,'מק"ט'!$D$2:$E$9,2,FALSE)&amp;VLOOKUP(E93,'מק"ט'!$F$2:$G$9,2,FALSE)&amp;D93</f>
        <v>76120306</v>
      </c>
      <c r="D93" s="76" t="s">
        <v>170</v>
      </c>
      <c r="E93" s="77" t="s">
        <v>168</v>
      </c>
      <c r="F93" s="78" t="s">
        <v>19</v>
      </c>
      <c r="G93" s="55" t="s">
        <v>21</v>
      </c>
      <c r="H93" s="68"/>
      <c r="I93" s="68"/>
      <c r="J93" s="68"/>
      <c r="K93" s="64"/>
      <c r="L93" s="227">
        <f t="shared" si="3"/>
        <v>90</v>
      </c>
      <c r="O93" s="42">
        <f>IFERROR(VLOOKUP(C93,תקציב!$D$22:$J$177,6,0),0)</f>
        <v>0</v>
      </c>
      <c r="P93" s="43">
        <f>IFERROR(VLOOKUP(C93,תקציב!$D$22:$J$177,5,0),0)</f>
        <v>0</v>
      </c>
      <c r="Q93" s="43">
        <f>IF(ISNUMBER(VLOOKUP(C93,תקציב!$D$22:$J$177,3,FALSE)),VLOOKUP(C93,תקציב!$D$22:$J$177,3,FALSE),1)</f>
        <v>1</v>
      </c>
      <c r="R93" s="43">
        <f t="shared" si="1"/>
        <v>0</v>
      </c>
      <c r="S93" s="44">
        <f t="shared" si="2"/>
        <v>0</v>
      </c>
      <c r="T93" s="186">
        <f>IFERROR(VLOOKUP(C93,תקציב!$D$22:$K$177,7,FALSE),0)-S93</f>
        <v>0</v>
      </c>
      <c r="Y93" s="81"/>
    </row>
    <row r="94" spans="2:25" ht="15" customHeight="1" x14ac:dyDescent="0.2">
      <c r="B94" s="228" t="str">
        <f t="shared" ref="B94:B96" si="24">G94</f>
        <v>שבועות</v>
      </c>
      <c r="C94" s="45" t="str">
        <f>'מק"ט'!$C$3&amp;VLOOKUP(G94,'מק"ט'!$D$2:$E$9,2,FALSE)&amp;VLOOKUP(E94,'מק"ט'!$F$2:$G$9,2,FALSE)&amp;D94</f>
        <v>76130306</v>
      </c>
      <c r="D94" s="76" t="s">
        <v>170</v>
      </c>
      <c r="E94" s="77" t="s">
        <v>168</v>
      </c>
      <c r="F94" s="78" t="s">
        <v>19</v>
      </c>
      <c r="G94" s="55" t="s">
        <v>26</v>
      </c>
      <c r="H94" s="68"/>
      <c r="I94" s="68"/>
      <c r="J94" s="68"/>
      <c r="K94" s="64"/>
      <c r="L94" s="227">
        <f t="shared" si="3"/>
        <v>90</v>
      </c>
      <c r="O94" s="42"/>
      <c r="P94" s="43"/>
      <c r="Q94" s="43"/>
      <c r="R94" s="43"/>
      <c r="S94" s="44"/>
      <c r="T94" s="186"/>
      <c r="Y94" s="81"/>
    </row>
    <row r="95" spans="2:25" ht="15" customHeight="1" x14ac:dyDescent="0.2">
      <c r="B95" s="228" t="str">
        <f t="shared" si="24"/>
        <v>חודשים</v>
      </c>
      <c r="C95" s="45" t="str">
        <f>'מק"ט'!$C$3&amp;VLOOKUP(G95,'מק"ט'!$D$2:$E$9,2,FALSE)&amp;VLOOKUP(E95,'מק"ט'!$F$2:$G$9,2,FALSE)&amp;D95</f>
        <v>76140306</v>
      </c>
      <c r="D95" s="76" t="s">
        <v>170</v>
      </c>
      <c r="E95" s="77" t="s">
        <v>168</v>
      </c>
      <c r="F95" s="78" t="s">
        <v>19</v>
      </c>
      <c r="G95" s="55" t="s">
        <v>24</v>
      </c>
      <c r="H95" s="68"/>
      <c r="I95" s="68"/>
      <c r="J95" s="68"/>
      <c r="K95" s="64"/>
      <c r="L95" s="227">
        <f t="shared" si="3"/>
        <v>90</v>
      </c>
      <c r="O95" s="42"/>
      <c r="P95" s="43"/>
      <c r="Q95" s="43"/>
      <c r="R95" s="43"/>
      <c r="S95" s="44"/>
      <c r="T95" s="186"/>
      <c r="Y95" s="81"/>
    </row>
    <row r="96" spans="2:25" ht="15" customHeight="1" thickBot="1" x14ac:dyDescent="0.25">
      <c r="B96" s="228" t="str">
        <f t="shared" si="24"/>
        <v>עונתי גלובלי</v>
      </c>
      <c r="C96" s="111" t="str">
        <f>'מק"ט'!$C$3&amp;VLOOKUP(G96,'מק"ט'!$D$2:$E$9,2,FALSE)&amp;VLOOKUP(E96,'מק"ט'!$F$2:$G$9,2,FALSE)&amp;D96</f>
        <v>76150306</v>
      </c>
      <c r="D96" s="82" t="s">
        <v>170</v>
      </c>
      <c r="E96" s="83" t="s">
        <v>168</v>
      </c>
      <c r="F96" s="84" t="s">
        <v>19</v>
      </c>
      <c r="G96" s="85" t="s">
        <v>23</v>
      </c>
      <c r="H96" s="86"/>
      <c r="I96" s="86"/>
      <c r="J96" s="86"/>
      <c r="K96" s="87"/>
      <c r="L96" s="227">
        <f t="shared" si="3"/>
        <v>90</v>
      </c>
      <c r="O96" s="42"/>
      <c r="P96" s="43"/>
      <c r="Q96" s="43"/>
      <c r="R96" s="43"/>
      <c r="S96" s="44"/>
      <c r="T96" s="186"/>
      <c r="Y96" s="81"/>
    </row>
    <row r="97" spans="2:25" ht="15" customHeight="1" x14ac:dyDescent="0.2">
      <c r="B97" s="32" t="str">
        <f t="shared" si="0"/>
        <v>תכניות/פרקים</v>
      </c>
      <c r="C97" s="45" t="str">
        <f>'מק"ט'!$C$3&amp;VLOOKUP(G97,'מק"ט'!$D$2:$E$9,2,FALSE)&amp;VLOOKUP(E97,'מק"ט'!$F$2:$G$9,2,FALSE)&amp;D97</f>
        <v>76110400</v>
      </c>
      <c r="D97" s="190" t="s">
        <v>174</v>
      </c>
      <c r="E97" s="73" t="s">
        <v>171</v>
      </c>
      <c r="F97" s="74" t="s">
        <v>212</v>
      </c>
      <c r="G97" s="49" t="s">
        <v>25</v>
      </c>
      <c r="H97" s="75"/>
      <c r="I97" s="75"/>
      <c r="J97" s="75"/>
      <c r="K97" s="67"/>
      <c r="L97" s="227">
        <f t="shared" si="3"/>
        <v>95</v>
      </c>
      <c r="O97" s="42">
        <f>IFERROR(VLOOKUP(C97,תקציב!$D$22:$J$177,6,0),0)</f>
        <v>0</v>
      </c>
      <c r="P97" s="43">
        <f>IFERROR(VLOOKUP(C97,תקציב!$D$22:$J$177,5,0),0)</f>
        <v>0</v>
      </c>
      <c r="Q97" s="43">
        <f>IF(ISNUMBER(VLOOKUP(C97,תקציב!$D$22:$J$177,3,FALSE)),VLOOKUP(C97,תקציב!$D$22:$J$177,3,FALSE),1)</f>
        <v>1</v>
      </c>
      <c r="R97" s="43">
        <f>IFERROR((P97*Q97),0)</f>
        <v>0</v>
      </c>
      <c r="S97" s="44">
        <f>O97*R97</f>
        <v>0</v>
      </c>
      <c r="T97" s="186">
        <f>IFERROR(VLOOKUP(C97,תקציב!$D$22:$K$177,7,FALSE),0)-S97</f>
        <v>0</v>
      </c>
      <c r="Y97" s="81"/>
    </row>
    <row r="98" spans="2:25" ht="15" customHeight="1" x14ac:dyDescent="0.2">
      <c r="B98" s="32" t="str">
        <f t="shared" ref="B98:B101" si="25">G98</f>
        <v>ימים</v>
      </c>
      <c r="C98" s="45" t="str">
        <f>'מק"ט'!$C$3&amp;VLOOKUP(G98,'מק"ט'!$D$2:$E$9,2,FALSE)&amp;VLOOKUP(E98,'מק"ט'!$F$2:$G$9,2,FALSE)&amp;D98</f>
        <v>76120401</v>
      </c>
      <c r="D98" s="190" t="s">
        <v>167</v>
      </c>
      <c r="E98" s="73" t="s">
        <v>171</v>
      </c>
      <c r="F98" s="74" t="s">
        <v>212</v>
      </c>
      <c r="G98" s="49" t="s">
        <v>21</v>
      </c>
      <c r="H98" s="75"/>
      <c r="I98" s="75"/>
      <c r="J98" s="75"/>
      <c r="K98" s="67"/>
      <c r="L98" s="227">
        <f t="shared" si="3"/>
        <v>95</v>
      </c>
      <c r="O98" s="42"/>
      <c r="P98" s="43"/>
      <c r="Q98" s="43"/>
      <c r="R98" s="43"/>
      <c r="S98" s="44"/>
      <c r="T98" s="186"/>
      <c r="Y98" s="81"/>
    </row>
    <row r="99" spans="2:25" ht="15" customHeight="1" x14ac:dyDescent="0.2">
      <c r="B99" s="32" t="str">
        <f t="shared" si="25"/>
        <v>שבועות</v>
      </c>
      <c r="C99" s="45" t="str">
        <f>'מק"ט'!$C$3&amp;VLOOKUP(G99,'מק"ט'!$D$2:$E$9,2,FALSE)&amp;VLOOKUP(E99,'מק"ט'!$F$2:$G$9,2,FALSE)&amp;D99</f>
        <v>76130402</v>
      </c>
      <c r="D99" s="190" t="s">
        <v>163</v>
      </c>
      <c r="E99" s="73" t="s">
        <v>171</v>
      </c>
      <c r="F99" s="74" t="s">
        <v>212</v>
      </c>
      <c r="G99" s="49" t="s">
        <v>26</v>
      </c>
      <c r="H99" s="75"/>
      <c r="I99" s="75"/>
      <c r="J99" s="75"/>
      <c r="K99" s="67"/>
      <c r="L99" s="227">
        <f t="shared" si="3"/>
        <v>95</v>
      </c>
      <c r="O99" s="42"/>
      <c r="P99" s="43"/>
      <c r="Q99" s="43"/>
      <c r="R99" s="43"/>
      <c r="S99" s="44"/>
      <c r="T99" s="186"/>
      <c r="Y99" s="81"/>
    </row>
    <row r="100" spans="2:25" ht="15" customHeight="1" x14ac:dyDescent="0.2">
      <c r="B100" s="32" t="str">
        <f t="shared" si="25"/>
        <v>חודשים</v>
      </c>
      <c r="C100" s="45" t="str">
        <f>'מק"ט'!$C$3&amp;VLOOKUP(G100,'מק"ט'!$D$2:$E$9,2,FALSE)&amp;VLOOKUP(E100,'מק"ט'!$F$2:$G$9,2,FALSE)&amp;D100</f>
        <v>76140403</v>
      </c>
      <c r="D100" s="190" t="s">
        <v>164</v>
      </c>
      <c r="E100" s="73" t="s">
        <v>171</v>
      </c>
      <c r="F100" s="74" t="s">
        <v>212</v>
      </c>
      <c r="G100" s="49" t="s">
        <v>24</v>
      </c>
      <c r="H100" s="75"/>
      <c r="I100" s="75"/>
      <c r="J100" s="75"/>
      <c r="K100" s="67"/>
      <c r="L100" s="227">
        <f t="shared" si="3"/>
        <v>95</v>
      </c>
      <c r="O100" s="42"/>
      <c r="P100" s="43"/>
      <c r="Q100" s="43"/>
      <c r="R100" s="43"/>
      <c r="S100" s="44"/>
      <c r="T100" s="186"/>
      <c r="Y100" s="81"/>
    </row>
    <row r="101" spans="2:25" ht="15" customHeight="1" x14ac:dyDescent="0.2">
      <c r="B101" s="32" t="str">
        <f t="shared" si="25"/>
        <v>עונתי גלובלי</v>
      </c>
      <c r="C101" s="45" t="str">
        <f>'מק"ט'!$C$3&amp;VLOOKUP(G101,'מק"ט'!$D$2:$E$9,2,FALSE)&amp;VLOOKUP(E101,'מק"ט'!$F$2:$G$9,2,FALSE)&amp;D101</f>
        <v>76150404</v>
      </c>
      <c r="D101" s="190" t="s">
        <v>165</v>
      </c>
      <c r="E101" s="73" t="s">
        <v>171</v>
      </c>
      <c r="F101" s="74" t="s">
        <v>212</v>
      </c>
      <c r="G101" s="49" t="s">
        <v>23</v>
      </c>
      <c r="H101" s="75"/>
      <c r="I101" s="75"/>
      <c r="J101" s="75"/>
      <c r="K101" s="67"/>
      <c r="L101" s="227">
        <f t="shared" si="3"/>
        <v>95</v>
      </c>
      <c r="O101" s="42"/>
      <c r="P101" s="43"/>
      <c r="Q101" s="43"/>
      <c r="R101" s="43"/>
      <c r="S101" s="44"/>
      <c r="T101" s="186"/>
      <c r="Y101" s="81"/>
    </row>
    <row r="102" spans="2:25" ht="15" customHeight="1" x14ac:dyDescent="0.2">
      <c r="B102" s="32" t="str">
        <f t="shared" si="0"/>
        <v>תכניות/פרקים</v>
      </c>
      <c r="C102" s="45" t="str">
        <f>'מק"ט'!$C$3&amp;VLOOKUP(G102,'מק"ט'!$D$2:$E$9,2,FALSE)&amp;VLOOKUP(E102,'מק"ט'!$F$2:$G$9,2,FALSE)&amp;D102</f>
        <v>76110401</v>
      </c>
      <c r="D102" s="76" t="s">
        <v>167</v>
      </c>
      <c r="E102" s="77" t="s">
        <v>171</v>
      </c>
      <c r="F102" s="78" t="s">
        <v>234</v>
      </c>
      <c r="G102" s="55" t="s">
        <v>25</v>
      </c>
      <c r="H102" s="68"/>
      <c r="I102" s="68"/>
      <c r="J102" s="68"/>
      <c r="K102" s="64"/>
      <c r="L102" s="227">
        <f t="shared" si="3"/>
        <v>100</v>
      </c>
      <c r="O102" s="42">
        <f>IFERROR(VLOOKUP(C102,תקציב!$D$22:$J$177,6,0),0)</f>
        <v>0</v>
      </c>
      <c r="P102" s="43">
        <f>IFERROR(VLOOKUP(C102,תקציב!$D$22:$J$177,5,0),0)</f>
        <v>0</v>
      </c>
      <c r="Q102" s="43">
        <f>IF(ISNUMBER(VLOOKUP(C102,תקציב!$D$22:$J$177,3,FALSE)),VLOOKUP(C102,תקציב!$D$22:$J$177,3,FALSE),1)</f>
        <v>1</v>
      </c>
      <c r="R102" s="43">
        <f t="shared" si="1"/>
        <v>0</v>
      </c>
      <c r="S102" s="44">
        <f t="shared" si="2"/>
        <v>0</v>
      </c>
      <c r="T102" s="186">
        <f>IFERROR(VLOOKUP(C102,תקציב!$D$22:$K$177,7,FALSE),0)-S102</f>
        <v>0</v>
      </c>
      <c r="Y102" s="81"/>
    </row>
    <row r="103" spans="2:25" ht="15" customHeight="1" x14ac:dyDescent="0.2">
      <c r="B103" s="32" t="str">
        <f t="shared" ref="B103:B106" si="26">G103</f>
        <v>ימים</v>
      </c>
      <c r="C103" s="45" t="str">
        <f>'מק"ט'!$C$3&amp;VLOOKUP(G103,'מק"ט'!$D$2:$E$9,2,FALSE)&amp;VLOOKUP(E103,'מק"ט'!$F$2:$G$9,2,FALSE)&amp;D103</f>
        <v>76120402</v>
      </c>
      <c r="D103" s="76" t="s">
        <v>163</v>
      </c>
      <c r="E103" s="77" t="s">
        <v>171</v>
      </c>
      <c r="F103" s="78" t="s">
        <v>234</v>
      </c>
      <c r="G103" s="55" t="s">
        <v>21</v>
      </c>
      <c r="H103" s="68"/>
      <c r="I103" s="68"/>
      <c r="J103" s="68"/>
      <c r="K103" s="64"/>
      <c r="L103" s="227">
        <f t="shared" si="3"/>
        <v>100</v>
      </c>
      <c r="O103" s="42"/>
      <c r="P103" s="43"/>
      <c r="Q103" s="43"/>
      <c r="R103" s="43"/>
      <c r="S103" s="44"/>
      <c r="T103" s="186"/>
      <c r="Y103" s="81"/>
    </row>
    <row r="104" spans="2:25" ht="15" customHeight="1" x14ac:dyDescent="0.2">
      <c r="B104" s="32" t="str">
        <f t="shared" si="26"/>
        <v>שבועות</v>
      </c>
      <c r="C104" s="45" t="str">
        <f>'מק"ט'!$C$3&amp;VLOOKUP(G104,'מק"ט'!$D$2:$E$9,2,FALSE)&amp;VLOOKUP(E104,'מק"ט'!$F$2:$G$9,2,FALSE)&amp;D104</f>
        <v>76130403</v>
      </c>
      <c r="D104" s="76" t="s">
        <v>164</v>
      </c>
      <c r="E104" s="77" t="s">
        <v>171</v>
      </c>
      <c r="F104" s="78" t="s">
        <v>234</v>
      </c>
      <c r="G104" s="55" t="s">
        <v>26</v>
      </c>
      <c r="H104" s="68"/>
      <c r="I104" s="68"/>
      <c r="J104" s="68"/>
      <c r="K104" s="64"/>
      <c r="L104" s="227">
        <f t="shared" si="3"/>
        <v>100</v>
      </c>
      <c r="O104" s="42"/>
      <c r="P104" s="43"/>
      <c r="Q104" s="43"/>
      <c r="R104" s="43"/>
      <c r="S104" s="44"/>
      <c r="T104" s="186"/>
      <c r="Y104" s="81"/>
    </row>
    <row r="105" spans="2:25" ht="15" customHeight="1" x14ac:dyDescent="0.2">
      <c r="B105" s="32" t="str">
        <f t="shared" si="26"/>
        <v>חודשים</v>
      </c>
      <c r="C105" s="45" t="str">
        <f>'מק"ט'!$C$3&amp;VLOOKUP(G105,'מק"ט'!$D$2:$E$9,2,FALSE)&amp;VLOOKUP(E105,'מק"ט'!$F$2:$G$9,2,FALSE)&amp;D105</f>
        <v>76140404</v>
      </c>
      <c r="D105" s="76" t="s">
        <v>165</v>
      </c>
      <c r="E105" s="77" t="s">
        <v>171</v>
      </c>
      <c r="F105" s="78" t="s">
        <v>234</v>
      </c>
      <c r="G105" s="55" t="s">
        <v>24</v>
      </c>
      <c r="H105" s="68"/>
      <c r="I105" s="68"/>
      <c r="J105" s="68"/>
      <c r="K105" s="64"/>
      <c r="L105" s="227">
        <f t="shared" si="3"/>
        <v>100</v>
      </c>
      <c r="O105" s="42"/>
      <c r="P105" s="43"/>
      <c r="Q105" s="43"/>
      <c r="R105" s="43"/>
      <c r="S105" s="44"/>
      <c r="T105" s="186"/>
      <c r="Y105" s="81"/>
    </row>
    <row r="106" spans="2:25" ht="15" customHeight="1" x14ac:dyDescent="0.2">
      <c r="B106" s="32" t="str">
        <f t="shared" si="26"/>
        <v>עונתי גלובלי</v>
      </c>
      <c r="C106" s="45" t="str">
        <f>'מק"ט'!$C$3&amp;VLOOKUP(G106,'מק"ט'!$D$2:$E$9,2,FALSE)&amp;VLOOKUP(E106,'מק"ט'!$F$2:$G$9,2,FALSE)&amp;D106</f>
        <v>76150405</v>
      </c>
      <c r="D106" s="76" t="s">
        <v>169</v>
      </c>
      <c r="E106" s="77" t="s">
        <v>171</v>
      </c>
      <c r="F106" s="78" t="s">
        <v>234</v>
      </c>
      <c r="G106" s="55" t="s">
        <v>23</v>
      </c>
      <c r="H106" s="68"/>
      <c r="I106" s="68"/>
      <c r="J106" s="68"/>
      <c r="K106" s="64"/>
      <c r="L106" s="227">
        <f t="shared" si="3"/>
        <v>100</v>
      </c>
      <c r="O106" s="42"/>
      <c r="P106" s="43"/>
      <c r="Q106" s="43"/>
      <c r="R106" s="43"/>
      <c r="S106" s="44"/>
      <c r="T106" s="186"/>
      <c r="Y106" s="81"/>
    </row>
    <row r="107" spans="2:25" ht="14.25" customHeight="1" x14ac:dyDescent="0.2">
      <c r="B107" s="32" t="str">
        <f t="shared" si="0"/>
        <v>תכניות/פרקים</v>
      </c>
      <c r="C107" s="45" t="str">
        <f>'מק"ט'!$C$3&amp;VLOOKUP(G107,'מק"ט'!$D$2:$E$9,2,FALSE)&amp;VLOOKUP(E107,'מק"ט'!$F$2:$G$9,2,FALSE)&amp;D107</f>
        <v>76110402</v>
      </c>
      <c r="D107" s="46" t="s">
        <v>163</v>
      </c>
      <c r="E107" s="73" t="s">
        <v>171</v>
      </c>
      <c r="F107" s="89" t="s">
        <v>84</v>
      </c>
      <c r="G107" s="49" t="s">
        <v>25</v>
      </c>
      <c r="H107" s="75"/>
      <c r="I107" s="75"/>
      <c r="J107" s="75"/>
      <c r="K107" s="67"/>
      <c r="L107" s="227">
        <f t="shared" si="3"/>
        <v>105</v>
      </c>
      <c r="O107" s="42">
        <f>IFERROR(VLOOKUP(C107,תקציב!$D$22:$J$177,6,0),0)</f>
        <v>0</v>
      </c>
      <c r="P107" s="43">
        <f>IFERROR(VLOOKUP(C107,תקציב!$D$22:$J$177,5,0),0)</f>
        <v>0</v>
      </c>
      <c r="Q107" s="43">
        <f>IF(ISNUMBER(VLOOKUP(C107,תקציב!$D$22:$J$177,3,FALSE)),VLOOKUP(C107,תקציב!$D$22:$J$177,3,FALSE),1)</f>
        <v>1</v>
      </c>
      <c r="R107" s="43">
        <f>IFERROR((P107*Q107),0)</f>
        <v>0</v>
      </c>
      <c r="S107" s="44">
        <f>O107*R107</f>
        <v>0</v>
      </c>
      <c r="T107" s="186">
        <f>IFERROR(VLOOKUP(C107,תקציב!$D$22:$K$177,7,FALSE),0)-S107</f>
        <v>0</v>
      </c>
      <c r="Y107" s="81"/>
    </row>
    <row r="108" spans="2:25" ht="14.25" customHeight="1" x14ac:dyDescent="0.2">
      <c r="B108" s="32" t="str">
        <f t="shared" ref="B108:B111" si="27">G108</f>
        <v>ימים</v>
      </c>
      <c r="C108" s="45" t="str">
        <f>'מק"ט'!$C$3&amp;VLOOKUP(G108,'מק"ט'!$D$2:$E$9,2,FALSE)&amp;VLOOKUP(E108,'מק"ט'!$F$2:$G$9,2,FALSE)&amp;D108</f>
        <v>76120403</v>
      </c>
      <c r="D108" s="46" t="s">
        <v>164</v>
      </c>
      <c r="E108" s="73" t="s">
        <v>171</v>
      </c>
      <c r="F108" s="89" t="s">
        <v>84</v>
      </c>
      <c r="G108" s="49" t="s">
        <v>21</v>
      </c>
      <c r="H108" s="75"/>
      <c r="I108" s="75"/>
      <c r="J108" s="75"/>
      <c r="K108" s="67"/>
      <c r="L108" s="227">
        <f t="shared" si="3"/>
        <v>105</v>
      </c>
      <c r="O108" s="42"/>
      <c r="P108" s="43"/>
      <c r="Q108" s="43"/>
      <c r="R108" s="43"/>
      <c r="S108" s="44"/>
      <c r="T108" s="186"/>
      <c r="Y108" s="81"/>
    </row>
    <row r="109" spans="2:25" ht="14.25" customHeight="1" x14ac:dyDescent="0.2">
      <c r="B109" s="32" t="str">
        <f t="shared" si="27"/>
        <v>שבועות</v>
      </c>
      <c r="C109" s="45" t="str">
        <f>'מק"ט'!$C$3&amp;VLOOKUP(G109,'מק"ט'!$D$2:$E$9,2,FALSE)&amp;VLOOKUP(E109,'מק"ט'!$F$2:$G$9,2,FALSE)&amp;D109</f>
        <v>76130404</v>
      </c>
      <c r="D109" s="46" t="s">
        <v>165</v>
      </c>
      <c r="E109" s="73" t="s">
        <v>171</v>
      </c>
      <c r="F109" s="89" t="s">
        <v>84</v>
      </c>
      <c r="G109" s="49" t="s">
        <v>26</v>
      </c>
      <c r="H109" s="75"/>
      <c r="I109" s="75"/>
      <c r="J109" s="75"/>
      <c r="K109" s="67"/>
      <c r="L109" s="227">
        <f t="shared" si="3"/>
        <v>105</v>
      </c>
      <c r="O109" s="42"/>
      <c r="P109" s="43"/>
      <c r="Q109" s="43"/>
      <c r="R109" s="43"/>
      <c r="S109" s="44"/>
      <c r="T109" s="186"/>
      <c r="Y109" s="81"/>
    </row>
    <row r="110" spans="2:25" ht="14.25" customHeight="1" x14ac:dyDescent="0.2">
      <c r="B110" s="32" t="str">
        <f t="shared" si="27"/>
        <v>חודשים</v>
      </c>
      <c r="C110" s="45" t="str">
        <f>'מק"ט'!$C$3&amp;VLOOKUP(G110,'מק"ט'!$D$2:$E$9,2,FALSE)&amp;VLOOKUP(E110,'מק"ט'!$F$2:$G$9,2,FALSE)&amp;D110</f>
        <v>76140405</v>
      </c>
      <c r="D110" s="46" t="s">
        <v>169</v>
      </c>
      <c r="E110" s="73" t="s">
        <v>171</v>
      </c>
      <c r="F110" s="89" t="s">
        <v>84</v>
      </c>
      <c r="G110" s="49" t="s">
        <v>24</v>
      </c>
      <c r="H110" s="75"/>
      <c r="I110" s="75"/>
      <c r="J110" s="75"/>
      <c r="K110" s="67"/>
      <c r="L110" s="227">
        <f t="shared" si="3"/>
        <v>105</v>
      </c>
      <c r="O110" s="42"/>
      <c r="P110" s="43"/>
      <c r="Q110" s="43"/>
      <c r="R110" s="43"/>
      <c r="S110" s="44"/>
      <c r="T110" s="186"/>
      <c r="Y110" s="81"/>
    </row>
    <row r="111" spans="2:25" ht="14.25" customHeight="1" x14ac:dyDescent="0.2">
      <c r="B111" s="32" t="str">
        <f t="shared" si="27"/>
        <v>עונתי גלובלי</v>
      </c>
      <c r="C111" s="45" t="str">
        <f>'מק"ט'!$C$3&amp;VLOOKUP(G111,'מק"ט'!$D$2:$E$9,2,FALSE)&amp;VLOOKUP(E111,'מק"ט'!$F$2:$G$9,2,FALSE)&amp;D111</f>
        <v>76150406</v>
      </c>
      <c r="D111" s="46" t="s">
        <v>170</v>
      </c>
      <c r="E111" s="73" t="s">
        <v>171</v>
      </c>
      <c r="F111" s="89" t="s">
        <v>84</v>
      </c>
      <c r="G111" s="49" t="s">
        <v>23</v>
      </c>
      <c r="H111" s="75"/>
      <c r="I111" s="75"/>
      <c r="J111" s="75"/>
      <c r="K111" s="67"/>
      <c r="L111" s="227">
        <f t="shared" si="3"/>
        <v>105</v>
      </c>
      <c r="O111" s="42"/>
      <c r="P111" s="43"/>
      <c r="Q111" s="43"/>
      <c r="R111" s="43"/>
      <c r="S111" s="44"/>
      <c r="T111" s="186"/>
      <c r="Y111" s="81"/>
    </row>
    <row r="112" spans="2:25" ht="15" customHeight="1" x14ac:dyDescent="0.2">
      <c r="B112" s="32" t="str">
        <f t="shared" si="0"/>
        <v>תכניות/פרקים</v>
      </c>
      <c r="C112" s="45" t="str">
        <f>'מק"ט'!$C$3&amp;VLOOKUP(G112,'מק"ט'!$D$2:$E$9,2,FALSE)&amp;VLOOKUP(E112,'מק"ט'!$F$2:$G$9,2,FALSE)&amp;D112</f>
        <v>76110403</v>
      </c>
      <c r="D112" s="76" t="s">
        <v>164</v>
      </c>
      <c r="E112" s="77" t="s">
        <v>171</v>
      </c>
      <c r="F112" s="88" t="s">
        <v>85</v>
      </c>
      <c r="G112" s="55" t="s">
        <v>25</v>
      </c>
      <c r="H112" s="68"/>
      <c r="I112" s="68"/>
      <c r="J112" s="68"/>
      <c r="K112" s="64"/>
      <c r="L112" s="227">
        <f t="shared" si="3"/>
        <v>110</v>
      </c>
      <c r="O112" s="42">
        <f>IFERROR(VLOOKUP(C112,תקציב!$D$22:$J$177,6,0),0)</f>
        <v>0</v>
      </c>
      <c r="P112" s="43">
        <f>IFERROR(VLOOKUP(C112,תקציב!$D$22:$J$177,5,0),0)</f>
        <v>0</v>
      </c>
      <c r="Q112" s="43">
        <f>IF(ISNUMBER(VLOOKUP(C112,תקציב!$D$22:$J$177,3,FALSE)),VLOOKUP(C112,תקציב!$D$22:$J$177,3,FALSE),1)</f>
        <v>1</v>
      </c>
      <c r="R112" s="43">
        <f t="shared" si="1"/>
        <v>0</v>
      </c>
      <c r="S112" s="44">
        <f t="shared" si="2"/>
        <v>0</v>
      </c>
      <c r="T112" s="186">
        <f>IFERROR(VLOOKUP(C112,תקציב!$D$22:$K$177,7,FALSE),0)-S112</f>
        <v>0</v>
      </c>
      <c r="Y112" s="81"/>
    </row>
    <row r="113" spans="2:25" ht="15" customHeight="1" x14ac:dyDescent="0.2">
      <c r="B113" s="32" t="str">
        <f t="shared" ref="B113:B116" si="28">G113</f>
        <v>ימים</v>
      </c>
      <c r="C113" s="45" t="str">
        <f>'מק"ט'!$C$3&amp;VLOOKUP(G113,'מק"ט'!$D$2:$E$9,2,FALSE)&amp;VLOOKUP(E113,'מק"ט'!$F$2:$G$9,2,FALSE)&amp;D113</f>
        <v>76120404</v>
      </c>
      <c r="D113" s="76" t="s">
        <v>165</v>
      </c>
      <c r="E113" s="77" t="s">
        <v>171</v>
      </c>
      <c r="F113" s="88" t="s">
        <v>85</v>
      </c>
      <c r="G113" s="55" t="s">
        <v>21</v>
      </c>
      <c r="H113" s="68"/>
      <c r="I113" s="68"/>
      <c r="J113" s="68"/>
      <c r="K113" s="64"/>
      <c r="L113" s="227">
        <f t="shared" si="3"/>
        <v>110</v>
      </c>
      <c r="O113" s="42"/>
      <c r="P113" s="43"/>
      <c r="Q113" s="43"/>
      <c r="R113" s="43"/>
      <c r="S113" s="44"/>
      <c r="T113" s="186"/>
      <c r="Y113" s="81"/>
    </row>
    <row r="114" spans="2:25" ht="15" customHeight="1" x14ac:dyDescent="0.2">
      <c r="B114" s="32" t="str">
        <f t="shared" si="28"/>
        <v>שבועות</v>
      </c>
      <c r="C114" s="45" t="str">
        <f>'מק"ט'!$C$3&amp;VLOOKUP(G114,'מק"ט'!$D$2:$E$9,2,FALSE)&amp;VLOOKUP(E114,'מק"ט'!$F$2:$G$9,2,FALSE)&amp;D114</f>
        <v>76130405</v>
      </c>
      <c r="D114" s="76" t="s">
        <v>169</v>
      </c>
      <c r="E114" s="77" t="s">
        <v>171</v>
      </c>
      <c r="F114" s="88" t="s">
        <v>85</v>
      </c>
      <c r="G114" s="55" t="s">
        <v>26</v>
      </c>
      <c r="H114" s="68"/>
      <c r="I114" s="68"/>
      <c r="J114" s="68"/>
      <c r="K114" s="64"/>
      <c r="L114" s="227">
        <f t="shared" si="3"/>
        <v>110</v>
      </c>
      <c r="O114" s="42"/>
      <c r="P114" s="43"/>
      <c r="Q114" s="43"/>
      <c r="R114" s="43"/>
      <c r="S114" s="44"/>
      <c r="T114" s="186"/>
      <c r="Y114" s="81"/>
    </row>
    <row r="115" spans="2:25" ht="15" customHeight="1" x14ac:dyDescent="0.2">
      <c r="B115" s="32" t="str">
        <f t="shared" si="28"/>
        <v>חודשים</v>
      </c>
      <c r="C115" s="45" t="str">
        <f>'מק"ט'!$C$3&amp;VLOOKUP(G115,'מק"ט'!$D$2:$E$9,2,FALSE)&amp;VLOOKUP(E115,'מק"ט'!$F$2:$G$9,2,FALSE)&amp;D115</f>
        <v>76140406</v>
      </c>
      <c r="D115" s="76" t="s">
        <v>170</v>
      </c>
      <c r="E115" s="77" t="s">
        <v>171</v>
      </c>
      <c r="F115" s="88" t="s">
        <v>85</v>
      </c>
      <c r="G115" s="55" t="s">
        <v>24</v>
      </c>
      <c r="H115" s="68"/>
      <c r="I115" s="68"/>
      <c r="J115" s="68"/>
      <c r="K115" s="64"/>
      <c r="L115" s="227">
        <f t="shared" si="3"/>
        <v>110</v>
      </c>
      <c r="O115" s="42"/>
      <c r="P115" s="43"/>
      <c r="Q115" s="43"/>
      <c r="R115" s="43"/>
      <c r="S115" s="44"/>
      <c r="T115" s="186"/>
      <c r="Y115" s="81"/>
    </row>
    <row r="116" spans="2:25" ht="15" customHeight="1" x14ac:dyDescent="0.2">
      <c r="B116" s="32" t="str">
        <f t="shared" si="28"/>
        <v>עונתי גלובלי</v>
      </c>
      <c r="C116" s="45" t="str">
        <f>'מק"ט'!$C$3&amp;VLOOKUP(G116,'מק"ט'!$D$2:$E$9,2,FALSE)&amp;VLOOKUP(E116,'מק"ט'!$F$2:$G$9,2,FALSE)&amp;D116</f>
        <v>76150407</v>
      </c>
      <c r="D116" s="76" t="s">
        <v>172</v>
      </c>
      <c r="E116" s="77" t="s">
        <v>171</v>
      </c>
      <c r="F116" s="88" t="s">
        <v>85</v>
      </c>
      <c r="G116" s="55" t="s">
        <v>23</v>
      </c>
      <c r="H116" s="68"/>
      <c r="I116" s="68"/>
      <c r="J116" s="68"/>
      <c r="K116" s="64"/>
      <c r="L116" s="227">
        <f t="shared" si="3"/>
        <v>110</v>
      </c>
      <c r="O116" s="42"/>
      <c r="P116" s="43"/>
      <c r="Q116" s="43"/>
      <c r="R116" s="43"/>
      <c r="S116" s="44"/>
      <c r="T116" s="186"/>
      <c r="Y116" s="81"/>
    </row>
    <row r="117" spans="2:25" ht="14.25" customHeight="1" x14ac:dyDescent="0.2">
      <c r="B117" s="32" t="str">
        <f t="shared" si="0"/>
        <v>תכניות/פרקים</v>
      </c>
      <c r="C117" s="45" t="str">
        <f>'מק"ט'!$C$3&amp;VLOOKUP(G117,'מק"ט'!$D$2:$E$9,2,FALSE)&amp;VLOOKUP(E117,'מק"ט'!$F$2:$G$9,2,FALSE)&amp;D117</f>
        <v>76110404</v>
      </c>
      <c r="D117" s="46" t="s">
        <v>165</v>
      </c>
      <c r="E117" s="73" t="s">
        <v>171</v>
      </c>
      <c r="F117" s="89" t="s">
        <v>86</v>
      </c>
      <c r="G117" s="49" t="s">
        <v>25</v>
      </c>
      <c r="H117" s="75"/>
      <c r="I117" s="75"/>
      <c r="J117" s="75"/>
      <c r="K117" s="67"/>
      <c r="L117" s="227">
        <f t="shared" si="3"/>
        <v>115</v>
      </c>
      <c r="O117" s="42">
        <f>IFERROR(VLOOKUP(C117,תקציב!$D$22:$J$177,6,0),0)</f>
        <v>0</v>
      </c>
      <c r="P117" s="43">
        <f>IFERROR(VLOOKUP(C117,תקציב!$D$22:$J$177,5,0),0)</f>
        <v>0</v>
      </c>
      <c r="Q117" s="43">
        <f>IF(ISNUMBER(VLOOKUP(C117,תקציב!$D$22:$J$177,3,FALSE)),VLOOKUP(C117,תקציב!$D$22:$J$177,3,FALSE),1)</f>
        <v>1</v>
      </c>
      <c r="R117" s="43">
        <f t="shared" si="1"/>
        <v>0</v>
      </c>
      <c r="S117" s="44">
        <f t="shared" si="2"/>
        <v>0</v>
      </c>
      <c r="T117" s="186">
        <f>IFERROR(VLOOKUP(C117,תקציב!$D$22:$K$177,7,FALSE),0)-S117</f>
        <v>0</v>
      </c>
      <c r="Y117" s="81"/>
    </row>
    <row r="118" spans="2:25" ht="14.25" customHeight="1" x14ac:dyDescent="0.2">
      <c r="B118" s="32" t="str">
        <f t="shared" ref="B118:B121" si="29">G118</f>
        <v>ימים</v>
      </c>
      <c r="C118" s="45" t="str">
        <f>'מק"ט'!$C$3&amp;VLOOKUP(G118,'מק"ט'!$D$2:$E$9,2,FALSE)&amp;VLOOKUP(E118,'מק"ט'!$F$2:$G$9,2,FALSE)&amp;D118</f>
        <v>76120405</v>
      </c>
      <c r="D118" s="46" t="s">
        <v>169</v>
      </c>
      <c r="E118" s="73" t="s">
        <v>171</v>
      </c>
      <c r="F118" s="89" t="s">
        <v>86</v>
      </c>
      <c r="G118" s="49" t="s">
        <v>21</v>
      </c>
      <c r="H118" s="75"/>
      <c r="I118" s="75"/>
      <c r="J118" s="75"/>
      <c r="K118" s="67"/>
      <c r="L118" s="227">
        <f t="shared" si="3"/>
        <v>115</v>
      </c>
      <c r="O118" s="42"/>
      <c r="P118" s="43"/>
      <c r="Q118" s="43"/>
      <c r="R118" s="43"/>
      <c r="S118" s="44"/>
      <c r="T118" s="186"/>
      <c r="Y118" s="81"/>
    </row>
    <row r="119" spans="2:25" ht="14.25" customHeight="1" x14ac:dyDescent="0.2">
      <c r="B119" s="32" t="str">
        <f t="shared" si="29"/>
        <v>שבועות</v>
      </c>
      <c r="C119" s="45" t="str">
        <f>'מק"ט'!$C$3&amp;VLOOKUP(G119,'מק"ט'!$D$2:$E$9,2,FALSE)&amp;VLOOKUP(E119,'מק"ט'!$F$2:$G$9,2,FALSE)&amp;D119</f>
        <v>76130406</v>
      </c>
      <c r="D119" s="46" t="s">
        <v>170</v>
      </c>
      <c r="E119" s="73" t="s">
        <v>171</v>
      </c>
      <c r="F119" s="89" t="s">
        <v>86</v>
      </c>
      <c r="G119" s="49" t="s">
        <v>26</v>
      </c>
      <c r="H119" s="75"/>
      <c r="I119" s="75"/>
      <c r="J119" s="75"/>
      <c r="K119" s="67"/>
      <c r="L119" s="227">
        <f t="shared" si="3"/>
        <v>115</v>
      </c>
      <c r="O119" s="42"/>
      <c r="P119" s="43"/>
      <c r="Q119" s="43"/>
      <c r="R119" s="43"/>
      <c r="S119" s="44"/>
      <c r="T119" s="186"/>
      <c r="Y119" s="81"/>
    </row>
    <row r="120" spans="2:25" ht="14.25" customHeight="1" x14ac:dyDescent="0.2">
      <c r="B120" s="32" t="str">
        <f t="shared" si="29"/>
        <v>חודשים</v>
      </c>
      <c r="C120" s="45" t="str">
        <f>'מק"ט'!$C$3&amp;VLOOKUP(G120,'מק"ט'!$D$2:$E$9,2,FALSE)&amp;VLOOKUP(E120,'מק"ט'!$F$2:$G$9,2,FALSE)&amp;D120</f>
        <v>76140407</v>
      </c>
      <c r="D120" s="46" t="s">
        <v>172</v>
      </c>
      <c r="E120" s="73" t="s">
        <v>171</v>
      </c>
      <c r="F120" s="89" t="s">
        <v>86</v>
      </c>
      <c r="G120" s="49" t="s">
        <v>24</v>
      </c>
      <c r="H120" s="75"/>
      <c r="I120" s="75"/>
      <c r="J120" s="75"/>
      <c r="K120" s="67"/>
      <c r="L120" s="227">
        <f t="shared" si="3"/>
        <v>115</v>
      </c>
      <c r="O120" s="42"/>
      <c r="P120" s="43"/>
      <c r="Q120" s="43"/>
      <c r="R120" s="43"/>
      <c r="S120" s="44"/>
      <c r="T120" s="186"/>
      <c r="Y120" s="81"/>
    </row>
    <row r="121" spans="2:25" ht="14.25" customHeight="1" x14ac:dyDescent="0.2">
      <c r="B121" s="32" t="str">
        <f t="shared" si="29"/>
        <v>עונתי גלובלי</v>
      </c>
      <c r="C121" s="45" t="str">
        <f>'מק"ט'!$C$3&amp;VLOOKUP(G121,'מק"ט'!$D$2:$E$9,2,FALSE)&amp;VLOOKUP(E121,'מק"ט'!$F$2:$G$9,2,FALSE)&amp;D121</f>
        <v>76150408</v>
      </c>
      <c r="D121" s="46" t="s">
        <v>166</v>
      </c>
      <c r="E121" s="73" t="s">
        <v>171</v>
      </c>
      <c r="F121" s="89" t="s">
        <v>86</v>
      </c>
      <c r="G121" s="49" t="s">
        <v>23</v>
      </c>
      <c r="H121" s="75"/>
      <c r="I121" s="75"/>
      <c r="J121" s="75"/>
      <c r="K121" s="67"/>
      <c r="L121" s="227">
        <f t="shared" si="3"/>
        <v>115</v>
      </c>
      <c r="O121" s="42"/>
      <c r="P121" s="43"/>
      <c r="Q121" s="43"/>
      <c r="R121" s="43"/>
      <c r="S121" s="44"/>
      <c r="T121" s="186"/>
      <c r="Y121" s="81"/>
    </row>
    <row r="122" spans="2:25" ht="15" customHeight="1" x14ac:dyDescent="0.2">
      <c r="B122" s="32" t="str">
        <f t="shared" si="0"/>
        <v>תכניות/פרקים</v>
      </c>
      <c r="C122" s="45" t="str">
        <f>'מק"ט'!$C$3&amp;VLOOKUP(G122,'מק"ט'!$D$2:$E$9,2,FALSE)&amp;VLOOKUP(E122,'מק"ט'!$F$2:$G$9,2,FALSE)&amp;D122</f>
        <v>76110413</v>
      </c>
      <c r="D122" s="62">
        <v>13</v>
      </c>
      <c r="E122" s="73" t="s">
        <v>171</v>
      </c>
      <c r="F122" s="90" t="s">
        <v>88</v>
      </c>
      <c r="G122" s="55" t="s">
        <v>25</v>
      </c>
      <c r="H122" s="75"/>
      <c r="I122" s="75"/>
      <c r="J122" s="75"/>
      <c r="K122" s="67"/>
      <c r="L122" s="227">
        <f t="shared" si="3"/>
        <v>120</v>
      </c>
      <c r="O122" s="42">
        <f>IFERROR(VLOOKUP(C122,תקציב!$D$22:$J$177,6,0),0)</f>
        <v>0</v>
      </c>
      <c r="P122" s="43">
        <f>IFERROR(VLOOKUP(C122,תקציב!$D$22:$J$177,5,0),0)</f>
        <v>0</v>
      </c>
      <c r="Q122" s="43">
        <f>IF(ISNUMBER(VLOOKUP(C122,תקציב!$D$22:$J$177,3,FALSE)),VLOOKUP(C122,תקציב!$D$22:$J$177,3,FALSE),1)</f>
        <v>1</v>
      </c>
      <c r="R122" s="43">
        <f t="shared" si="1"/>
        <v>0</v>
      </c>
      <c r="S122" s="44">
        <f t="shared" si="2"/>
        <v>0</v>
      </c>
      <c r="T122" s="186">
        <f>IFERROR(VLOOKUP(C122,תקציב!$D$22:$K$177,7,FALSE),0)-S122</f>
        <v>0</v>
      </c>
      <c r="Y122" s="81"/>
    </row>
    <row r="123" spans="2:25" ht="15" customHeight="1" x14ac:dyDescent="0.2">
      <c r="B123" s="32" t="str">
        <f t="shared" si="0"/>
        <v>ימים</v>
      </c>
      <c r="C123" s="45" t="str">
        <f>'מק"ט'!$C$3&amp;VLOOKUP(G123,'מק"ט'!$D$2:$E$9,2,FALSE)&amp;VLOOKUP(E123,'מק"ט'!$F$2:$G$9,2,FALSE)&amp;D123</f>
        <v>76120413</v>
      </c>
      <c r="D123" s="62">
        <v>13</v>
      </c>
      <c r="E123" s="73" t="s">
        <v>171</v>
      </c>
      <c r="F123" s="90" t="s">
        <v>88</v>
      </c>
      <c r="G123" s="55" t="s">
        <v>21</v>
      </c>
      <c r="H123" s="75"/>
      <c r="I123" s="75"/>
      <c r="J123" s="75"/>
      <c r="K123" s="67"/>
      <c r="L123" s="227">
        <f t="shared" si="3"/>
        <v>120</v>
      </c>
      <c r="O123" s="42">
        <f>IFERROR(VLOOKUP(C123,תקציב!$D$22:$J$177,6,0),0)</f>
        <v>0</v>
      </c>
      <c r="P123" s="43">
        <f>IFERROR(VLOOKUP(C123,תקציב!$D$22:$J$177,5,0),0)</f>
        <v>0</v>
      </c>
      <c r="Q123" s="43">
        <f>IF(ISNUMBER(VLOOKUP(C123,תקציב!$D$22:$J$177,3,FALSE)),VLOOKUP(C123,תקציב!$D$22:$J$177,3,FALSE),1)</f>
        <v>1</v>
      </c>
      <c r="R123" s="43">
        <f t="shared" si="1"/>
        <v>0</v>
      </c>
      <c r="S123" s="44">
        <f t="shared" si="2"/>
        <v>0</v>
      </c>
      <c r="T123" s="186">
        <f>IFERROR(VLOOKUP(C123,תקציב!$D$22:$K$177,7,FALSE),0)-S123</f>
        <v>0</v>
      </c>
      <c r="Y123" s="81"/>
    </row>
    <row r="124" spans="2:25" ht="15" customHeight="1" x14ac:dyDescent="0.2">
      <c r="B124" s="32" t="str">
        <f t="shared" ref="B124:B126" si="30">G124</f>
        <v>שבועות</v>
      </c>
      <c r="C124" s="45" t="str">
        <f>'מק"ט'!$C$3&amp;VLOOKUP(G124,'מק"ט'!$D$2:$E$9,2,FALSE)&amp;VLOOKUP(E124,'מק"ט'!$F$2:$G$9,2,FALSE)&amp;D124</f>
        <v>76130413</v>
      </c>
      <c r="D124" s="62">
        <v>13</v>
      </c>
      <c r="E124" s="73" t="s">
        <v>171</v>
      </c>
      <c r="F124" s="90" t="s">
        <v>88</v>
      </c>
      <c r="G124" s="55" t="s">
        <v>26</v>
      </c>
      <c r="H124" s="75"/>
      <c r="I124" s="75"/>
      <c r="J124" s="75"/>
      <c r="K124" s="67"/>
      <c r="L124" s="227">
        <f t="shared" si="3"/>
        <v>120</v>
      </c>
      <c r="O124" s="42"/>
      <c r="P124" s="43"/>
      <c r="Q124" s="43"/>
      <c r="R124" s="43"/>
      <c r="S124" s="44"/>
      <c r="T124" s="186"/>
      <c r="Y124" s="81"/>
    </row>
    <row r="125" spans="2:25" ht="15" customHeight="1" x14ac:dyDescent="0.2">
      <c r="B125" s="32" t="str">
        <f t="shared" si="30"/>
        <v>חודשים</v>
      </c>
      <c r="C125" s="45" t="str">
        <f>'מק"ט'!$C$3&amp;VLOOKUP(G125,'מק"ט'!$D$2:$E$9,2,FALSE)&amp;VLOOKUP(E125,'מק"ט'!$F$2:$G$9,2,FALSE)&amp;D125</f>
        <v>76140413</v>
      </c>
      <c r="D125" s="62">
        <v>13</v>
      </c>
      <c r="E125" s="73" t="s">
        <v>171</v>
      </c>
      <c r="F125" s="90" t="s">
        <v>88</v>
      </c>
      <c r="G125" s="55" t="s">
        <v>24</v>
      </c>
      <c r="H125" s="75"/>
      <c r="I125" s="75"/>
      <c r="J125" s="75"/>
      <c r="K125" s="67"/>
      <c r="L125" s="227">
        <f t="shared" si="3"/>
        <v>120</v>
      </c>
      <c r="O125" s="42"/>
      <c r="P125" s="43"/>
      <c r="Q125" s="43"/>
      <c r="R125" s="43"/>
      <c r="S125" s="44"/>
      <c r="T125" s="186"/>
      <c r="Y125" s="81"/>
    </row>
    <row r="126" spans="2:25" ht="15" customHeight="1" x14ac:dyDescent="0.2">
      <c r="B126" s="32" t="str">
        <f t="shared" si="30"/>
        <v>עונתי גלובלי</v>
      </c>
      <c r="C126" s="45" t="str">
        <f>'מק"ט'!$C$3&amp;VLOOKUP(G126,'מק"ט'!$D$2:$E$9,2,FALSE)&amp;VLOOKUP(E126,'מק"ט'!$F$2:$G$9,2,FALSE)&amp;D126</f>
        <v>76150413</v>
      </c>
      <c r="D126" s="62">
        <v>13</v>
      </c>
      <c r="E126" s="73" t="s">
        <v>171</v>
      </c>
      <c r="F126" s="90" t="s">
        <v>88</v>
      </c>
      <c r="G126" s="55" t="s">
        <v>23</v>
      </c>
      <c r="H126" s="75"/>
      <c r="I126" s="75"/>
      <c r="J126" s="75"/>
      <c r="K126" s="67"/>
      <c r="L126" s="227">
        <f t="shared" si="3"/>
        <v>120</v>
      </c>
      <c r="O126" s="42"/>
      <c r="P126" s="43"/>
      <c r="Q126" s="43"/>
      <c r="R126" s="43"/>
      <c r="S126" s="44"/>
      <c r="T126" s="186"/>
      <c r="Y126" s="81"/>
    </row>
    <row r="127" spans="2:25" ht="15" customHeight="1" x14ac:dyDescent="0.2">
      <c r="B127" s="32" t="str">
        <f t="shared" si="0"/>
        <v>תכניות/פרקים</v>
      </c>
      <c r="C127" s="45" t="str">
        <f>'מק"ט'!$C$3&amp;VLOOKUP(G127,'מק"ט'!$D$2:$E$9,2,FALSE)&amp;VLOOKUP(E127,'מק"ט'!$F$2:$G$9,2,FALSE)&amp;D127</f>
        <v>76110406</v>
      </c>
      <c r="D127" s="76" t="s">
        <v>170</v>
      </c>
      <c r="E127" s="77" t="s">
        <v>171</v>
      </c>
      <c r="F127" s="88" t="s">
        <v>89</v>
      </c>
      <c r="G127" s="49" t="s">
        <v>25</v>
      </c>
      <c r="H127" s="68"/>
      <c r="I127" s="68"/>
      <c r="J127" s="68"/>
      <c r="K127" s="64"/>
      <c r="L127" s="227">
        <f t="shared" si="3"/>
        <v>125</v>
      </c>
      <c r="O127" s="42">
        <f>IFERROR(VLOOKUP(C127,תקציב!$D$22:$J$177,6,0),0)</f>
        <v>0</v>
      </c>
      <c r="P127" s="43">
        <f>IFERROR(VLOOKUP(C127,תקציב!$D$22:$J$177,5,0),0)</f>
        <v>0</v>
      </c>
      <c r="Q127" s="43">
        <f>IF(ISNUMBER(VLOOKUP(C127,תקציב!$D$22:$J$177,3,FALSE)),VLOOKUP(C127,תקציב!$D$22:$J$177,3,FALSE),1)</f>
        <v>1</v>
      </c>
      <c r="R127" s="43">
        <f t="shared" si="1"/>
        <v>0</v>
      </c>
      <c r="S127" s="44">
        <f t="shared" si="2"/>
        <v>0</v>
      </c>
      <c r="T127" s="186">
        <f>IFERROR(VLOOKUP(C127,תקציב!$D$22:$K$177,7,FALSE),0)-S127</f>
        <v>0</v>
      </c>
      <c r="Y127" s="81"/>
    </row>
    <row r="128" spans="2:25" ht="15" customHeight="1" x14ac:dyDescent="0.2">
      <c r="B128" s="32" t="str">
        <f t="shared" si="0"/>
        <v>ימים</v>
      </c>
      <c r="C128" s="45" t="str">
        <f>'מק"ט'!$C$3&amp;VLOOKUP(G128,'מק"ט'!$D$2:$E$9,2,FALSE)&amp;VLOOKUP(E128,'מק"ט'!$F$2:$G$9,2,FALSE)&amp;D128</f>
        <v>76120406</v>
      </c>
      <c r="D128" s="76" t="s">
        <v>170</v>
      </c>
      <c r="E128" s="77" t="s">
        <v>171</v>
      </c>
      <c r="F128" s="88" t="s">
        <v>89</v>
      </c>
      <c r="G128" s="49" t="s">
        <v>21</v>
      </c>
      <c r="H128" s="68"/>
      <c r="I128" s="68"/>
      <c r="J128" s="68"/>
      <c r="K128" s="64"/>
      <c r="L128" s="227">
        <f t="shared" si="3"/>
        <v>125</v>
      </c>
      <c r="O128" s="42">
        <f>IFERROR(VLOOKUP(C128,תקציב!$D$22:$J$177,6,0),0)</f>
        <v>0</v>
      </c>
      <c r="P128" s="43">
        <f>IFERROR(VLOOKUP(C128,תקציב!$D$22:$J$177,5,0),0)</f>
        <v>0</v>
      </c>
      <c r="Q128" s="43">
        <f>IF(ISNUMBER(VLOOKUP(C128,תקציב!$D$22:$J$177,3,FALSE)),VLOOKUP(C128,תקציב!$D$22:$J$177,3,FALSE),1)</f>
        <v>1</v>
      </c>
      <c r="R128" s="43">
        <f t="shared" si="1"/>
        <v>0</v>
      </c>
      <c r="S128" s="44">
        <f t="shared" si="2"/>
        <v>0</v>
      </c>
      <c r="T128" s="186">
        <f>IFERROR(VLOOKUP(C128,תקציב!$D$22:$K$177,7,FALSE),0)-S128</f>
        <v>0</v>
      </c>
      <c r="Y128" s="81"/>
    </row>
    <row r="129" spans="2:25" ht="15" customHeight="1" x14ac:dyDescent="0.2">
      <c r="B129" s="32" t="str">
        <f t="shared" si="0"/>
        <v>שבועות</v>
      </c>
      <c r="C129" s="45" t="str">
        <f>'מק"ט'!$C$3&amp;VLOOKUP(G129,'מק"ט'!$D$2:$E$9,2,FALSE)&amp;VLOOKUP(E129,'מק"ט'!$F$2:$G$9,2,FALSE)&amp;D129</f>
        <v>76130406</v>
      </c>
      <c r="D129" s="76" t="s">
        <v>170</v>
      </c>
      <c r="E129" s="77" t="s">
        <v>171</v>
      </c>
      <c r="F129" s="88" t="s">
        <v>89</v>
      </c>
      <c r="G129" s="49" t="s">
        <v>26</v>
      </c>
      <c r="H129" s="68"/>
      <c r="I129" s="68"/>
      <c r="J129" s="68"/>
      <c r="K129" s="64"/>
      <c r="L129" s="227">
        <f t="shared" si="3"/>
        <v>125</v>
      </c>
      <c r="O129" s="42">
        <f>IFERROR(VLOOKUP(C129,תקציב!$D$22:$J$177,6,0),0)</f>
        <v>0</v>
      </c>
      <c r="P129" s="43">
        <f>IFERROR(VLOOKUP(C129,תקציב!$D$22:$J$177,5,0),0)</f>
        <v>0</v>
      </c>
      <c r="Q129" s="43">
        <f>IF(ISNUMBER(VLOOKUP(C129,תקציב!$D$22:$J$177,3,FALSE)),VLOOKUP(C129,תקציב!$D$22:$J$177,3,FALSE),1)</f>
        <v>1</v>
      </c>
      <c r="R129" s="43">
        <f t="shared" si="1"/>
        <v>0</v>
      </c>
      <c r="S129" s="44">
        <f t="shared" si="2"/>
        <v>0</v>
      </c>
      <c r="T129" s="186">
        <f>IFERROR(VLOOKUP(C129,תקציב!$D$22:$K$177,7,FALSE),0)-S129</f>
        <v>0</v>
      </c>
      <c r="Y129" s="81"/>
    </row>
    <row r="130" spans="2:25" ht="15" customHeight="1" x14ac:dyDescent="0.2">
      <c r="B130" s="32" t="str">
        <f t="shared" ref="B130:B131" si="31">G130</f>
        <v>חודשים</v>
      </c>
      <c r="C130" s="45" t="str">
        <f>'מק"ט'!$C$3&amp;VLOOKUP(G130,'מק"ט'!$D$2:$E$9,2,FALSE)&amp;VLOOKUP(E130,'מק"ט'!$F$2:$G$9,2,FALSE)&amp;D130</f>
        <v>76140406</v>
      </c>
      <c r="D130" s="76" t="s">
        <v>170</v>
      </c>
      <c r="E130" s="77" t="s">
        <v>171</v>
      </c>
      <c r="F130" s="88" t="s">
        <v>89</v>
      </c>
      <c r="G130" s="49" t="s">
        <v>24</v>
      </c>
      <c r="H130" s="68"/>
      <c r="I130" s="68"/>
      <c r="J130" s="68"/>
      <c r="K130" s="64"/>
      <c r="L130" s="227">
        <f t="shared" si="3"/>
        <v>125</v>
      </c>
      <c r="O130" s="42"/>
      <c r="P130" s="43"/>
      <c r="Q130" s="43"/>
      <c r="R130" s="43"/>
      <c r="S130" s="44"/>
      <c r="T130" s="186"/>
      <c r="Y130" s="81"/>
    </row>
    <row r="131" spans="2:25" ht="15" customHeight="1" x14ac:dyDescent="0.2">
      <c r="B131" s="32" t="str">
        <f t="shared" si="31"/>
        <v>עונתי גלובלי</v>
      </c>
      <c r="C131" s="45" t="str">
        <f>'מק"ט'!$C$3&amp;VLOOKUP(G131,'מק"ט'!$D$2:$E$9,2,FALSE)&amp;VLOOKUP(E131,'מק"ט'!$F$2:$G$9,2,FALSE)&amp;D131</f>
        <v>76150406</v>
      </c>
      <c r="D131" s="76" t="s">
        <v>170</v>
      </c>
      <c r="E131" s="77" t="s">
        <v>171</v>
      </c>
      <c r="F131" s="88" t="s">
        <v>89</v>
      </c>
      <c r="G131" s="49" t="s">
        <v>23</v>
      </c>
      <c r="H131" s="68"/>
      <c r="I131" s="68"/>
      <c r="J131" s="68"/>
      <c r="K131" s="64"/>
      <c r="L131" s="227">
        <f t="shared" si="3"/>
        <v>125</v>
      </c>
      <c r="O131" s="42"/>
      <c r="P131" s="43"/>
      <c r="Q131" s="43"/>
      <c r="R131" s="43"/>
      <c r="S131" s="44"/>
      <c r="T131" s="186"/>
      <c r="Y131" s="81"/>
    </row>
    <row r="132" spans="2:25" ht="15" customHeight="1" x14ac:dyDescent="0.2">
      <c r="B132" s="32" t="str">
        <f t="shared" si="0"/>
        <v>תכניות/פרקים</v>
      </c>
      <c r="C132" s="45" t="str">
        <f>'מק"ט'!$C$3&amp;VLOOKUP(G132,'מק"ט'!$D$2:$E$9,2,FALSE)&amp;VLOOKUP(E132,'מק"ט'!$F$2:$G$9,2,FALSE)&amp;D132</f>
        <v>76110407</v>
      </c>
      <c r="D132" s="58" t="s">
        <v>172</v>
      </c>
      <c r="E132" s="73" t="s">
        <v>171</v>
      </c>
      <c r="F132" s="89" t="s">
        <v>90</v>
      </c>
      <c r="G132" s="55" t="s">
        <v>25</v>
      </c>
      <c r="H132" s="75"/>
      <c r="I132" s="75"/>
      <c r="J132" s="75"/>
      <c r="K132" s="67"/>
      <c r="L132" s="227">
        <f t="shared" si="3"/>
        <v>130</v>
      </c>
      <c r="O132" s="42">
        <f>IFERROR(VLOOKUP(C132,תקציב!$D$22:$J$177,6,0),0)</f>
        <v>0</v>
      </c>
      <c r="P132" s="43">
        <f>IFERROR(VLOOKUP(C132,תקציב!$D$22:$J$177,5,0),0)</f>
        <v>0</v>
      </c>
      <c r="Q132" s="43">
        <f>IF(ISNUMBER(VLOOKUP(C132,תקציב!$D$22:$J$177,3,FALSE)),VLOOKUP(C132,תקציב!$D$22:$J$177,3,FALSE),1)</f>
        <v>1</v>
      </c>
      <c r="R132" s="43">
        <f t="shared" si="1"/>
        <v>0</v>
      </c>
      <c r="S132" s="44">
        <f t="shared" si="2"/>
        <v>0</v>
      </c>
      <c r="T132" s="186">
        <f>IFERROR(VLOOKUP(C132,תקציב!$D$22:$K$177,7,FALSE),0)-S132</f>
        <v>0</v>
      </c>
      <c r="Y132" s="81"/>
    </row>
    <row r="133" spans="2:25" ht="15" customHeight="1" x14ac:dyDescent="0.2">
      <c r="B133" s="32" t="str">
        <f t="shared" si="0"/>
        <v>ימים</v>
      </c>
      <c r="C133" s="45" t="str">
        <f>'מק"ט'!$C$3&amp;VLOOKUP(G133,'מק"ט'!$D$2:$E$9,2,FALSE)&amp;VLOOKUP(E133,'מק"ט'!$F$2:$G$9,2,FALSE)&amp;D133</f>
        <v>76120407</v>
      </c>
      <c r="D133" s="58" t="s">
        <v>172</v>
      </c>
      <c r="E133" s="73" t="s">
        <v>171</v>
      </c>
      <c r="F133" s="89" t="s">
        <v>90</v>
      </c>
      <c r="G133" s="55" t="s">
        <v>21</v>
      </c>
      <c r="H133" s="75"/>
      <c r="I133" s="75"/>
      <c r="J133" s="75"/>
      <c r="K133" s="67"/>
      <c r="L133" s="227">
        <f t="shared" si="3"/>
        <v>130</v>
      </c>
      <c r="O133" s="42">
        <f>IFERROR(VLOOKUP(C133,תקציב!$D$22:$J$177,6,0),0)</f>
        <v>0</v>
      </c>
      <c r="P133" s="43">
        <f>IFERROR(VLOOKUP(C133,תקציב!$D$22:$J$177,5,0),0)</f>
        <v>0</v>
      </c>
      <c r="Q133" s="43">
        <f>IF(ISNUMBER(VLOOKUP(C133,תקציב!$D$22:$J$177,3,FALSE)),VLOOKUP(C133,תקציב!$D$22:$J$177,3,FALSE),1)</f>
        <v>1</v>
      </c>
      <c r="R133" s="43">
        <f t="shared" si="1"/>
        <v>0</v>
      </c>
      <c r="S133" s="44">
        <f t="shared" si="2"/>
        <v>0</v>
      </c>
      <c r="T133" s="186">
        <f>IFERROR(VLOOKUP(C133,תקציב!$D$22:$K$177,7,FALSE),0)-S133</f>
        <v>0</v>
      </c>
      <c r="Y133" s="81"/>
    </row>
    <row r="134" spans="2:25" ht="15" customHeight="1" x14ac:dyDescent="0.2">
      <c r="B134" s="32" t="str">
        <f t="shared" si="0"/>
        <v>שבועות</v>
      </c>
      <c r="C134" s="45" t="str">
        <f>'מק"ט'!$C$3&amp;VLOOKUP(G134,'מק"ט'!$D$2:$E$9,2,FALSE)&amp;VLOOKUP(E134,'מק"ט'!$F$2:$G$9,2,FALSE)&amp;D134</f>
        <v>76130407</v>
      </c>
      <c r="D134" s="58" t="s">
        <v>172</v>
      </c>
      <c r="E134" s="73" t="s">
        <v>171</v>
      </c>
      <c r="F134" s="89" t="s">
        <v>90</v>
      </c>
      <c r="G134" s="55" t="s">
        <v>26</v>
      </c>
      <c r="H134" s="75"/>
      <c r="I134" s="75"/>
      <c r="J134" s="75"/>
      <c r="K134" s="67"/>
      <c r="L134" s="227">
        <f t="shared" si="3"/>
        <v>130</v>
      </c>
      <c r="O134" s="42">
        <f>IFERROR(VLOOKUP(C134,תקציב!$D$22:$J$177,6,0),0)</f>
        <v>0</v>
      </c>
      <c r="P134" s="43">
        <f>IFERROR(VLOOKUP(C134,תקציב!$D$22:$J$177,5,0),0)</f>
        <v>0</v>
      </c>
      <c r="Q134" s="43">
        <f>IF(ISNUMBER(VLOOKUP(C134,תקציב!$D$22:$J$177,3,FALSE)),VLOOKUP(C134,תקציב!$D$22:$J$177,3,FALSE),1)</f>
        <v>1</v>
      </c>
      <c r="R134" s="43">
        <f t="shared" si="1"/>
        <v>0</v>
      </c>
      <c r="S134" s="44">
        <f t="shared" si="2"/>
        <v>0</v>
      </c>
      <c r="T134" s="186">
        <f>IFERROR(VLOOKUP(C134,תקציב!$D$22:$K$177,7,FALSE),0)-S134</f>
        <v>0</v>
      </c>
      <c r="Y134" s="81"/>
    </row>
    <row r="135" spans="2:25" ht="15" customHeight="1" x14ac:dyDescent="0.2">
      <c r="B135" s="32" t="str">
        <f t="shared" ref="B135:B136" si="32">G135</f>
        <v>חודשים</v>
      </c>
      <c r="C135" s="45" t="str">
        <f>'מק"ט'!$C$3&amp;VLOOKUP(G135,'מק"ט'!$D$2:$E$9,2,FALSE)&amp;VLOOKUP(E135,'מק"ט'!$F$2:$G$9,2,FALSE)&amp;D135</f>
        <v>76140407</v>
      </c>
      <c r="D135" s="58" t="s">
        <v>172</v>
      </c>
      <c r="E135" s="73" t="s">
        <v>171</v>
      </c>
      <c r="F135" s="89" t="s">
        <v>90</v>
      </c>
      <c r="G135" s="55" t="s">
        <v>24</v>
      </c>
      <c r="H135" s="75"/>
      <c r="I135" s="75"/>
      <c r="J135" s="75"/>
      <c r="K135" s="67"/>
      <c r="L135" s="227">
        <f t="shared" si="3"/>
        <v>130</v>
      </c>
      <c r="O135" s="42"/>
      <c r="P135" s="43"/>
      <c r="Q135" s="43"/>
      <c r="R135" s="43"/>
      <c r="S135" s="44"/>
      <c r="T135" s="186"/>
      <c r="Y135" s="81"/>
    </row>
    <row r="136" spans="2:25" ht="15" customHeight="1" x14ac:dyDescent="0.2">
      <c r="B136" s="32" t="str">
        <f t="shared" si="32"/>
        <v>עונתי גלובלי</v>
      </c>
      <c r="C136" s="45" t="str">
        <f>'מק"ט'!$C$3&amp;VLOOKUP(G136,'מק"ט'!$D$2:$E$9,2,FALSE)&amp;VLOOKUP(E136,'מק"ט'!$F$2:$G$9,2,FALSE)&amp;D136</f>
        <v>76150407</v>
      </c>
      <c r="D136" s="58" t="s">
        <v>172</v>
      </c>
      <c r="E136" s="73" t="s">
        <v>171</v>
      </c>
      <c r="F136" s="89" t="s">
        <v>90</v>
      </c>
      <c r="G136" s="55" t="s">
        <v>23</v>
      </c>
      <c r="H136" s="75"/>
      <c r="I136" s="75"/>
      <c r="J136" s="75"/>
      <c r="K136" s="67"/>
      <c r="L136" s="227">
        <f t="shared" si="3"/>
        <v>130</v>
      </c>
      <c r="O136" s="42"/>
      <c r="P136" s="43"/>
      <c r="Q136" s="43"/>
      <c r="R136" s="43"/>
      <c r="S136" s="44"/>
      <c r="T136" s="186"/>
      <c r="Y136" s="81"/>
    </row>
    <row r="137" spans="2:25" ht="15" customHeight="1" x14ac:dyDescent="0.2">
      <c r="B137" s="32" t="str">
        <f t="shared" si="0"/>
        <v>תכניות/פרקים</v>
      </c>
      <c r="C137" s="45" t="str">
        <f>'מק"ט'!$C$3&amp;VLOOKUP(G137,'מק"ט'!$D$2:$E$9,2,FALSE)&amp;VLOOKUP(E137,'מק"ט'!$F$2:$G$9,2,FALSE)&amp;D137</f>
        <v>76110414</v>
      </c>
      <c r="D137" s="52">
        <v>14</v>
      </c>
      <c r="E137" s="77" t="s">
        <v>171</v>
      </c>
      <c r="F137" s="88" t="s">
        <v>91</v>
      </c>
      <c r="G137" s="49" t="s">
        <v>25</v>
      </c>
      <c r="H137" s="68"/>
      <c r="I137" s="68"/>
      <c r="J137" s="68"/>
      <c r="K137" s="64"/>
      <c r="L137" s="227">
        <f t="shared" si="3"/>
        <v>135</v>
      </c>
      <c r="O137" s="42">
        <f>IFERROR(VLOOKUP(C137,תקציב!$D$22:$J$177,6,0),0)</f>
        <v>0</v>
      </c>
      <c r="P137" s="43">
        <f>IFERROR(VLOOKUP(C137,תקציב!$D$22:$J$177,5,0),0)</f>
        <v>0</v>
      </c>
      <c r="Q137" s="43">
        <f>IF(ISNUMBER(VLOOKUP(C137,תקציב!$D$22:$J$177,3,FALSE)),VLOOKUP(C137,תקציב!$D$22:$J$177,3,FALSE),1)</f>
        <v>1</v>
      </c>
      <c r="R137" s="43">
        <f t="shared" si="1"/>
        <v>0</v>
      </c>
      <c r="S137" s="44">
        <f t="shared" si="2"/>
        <v>0</v>
      </c>
      <c r="T137" s="186">
        <f>IFERROR(VLOOKUP(C137,תקציב!$D$22:$K$177,7,FALSE),0)-S137</f>
        <v>0</v>
      </c>
      <c r="Y137" s="81"/>
    </row>
    <row r="138" spans="2:25" ht="15" customHeight="1" x14ac:dyDescent="0.2">
      <c r="B138" s="32" t="str">
        <f t="shared" si="0"/>
        <v>ימים</v>
      </c>
      <c r="C138" s="45" t="str">
        <f>'מק"ט'!$C$3&amp;VLOOKUP(G138,'מק"ט'!$D$2:$E$9,2,FALSE)&amp;VLOOKUP(E138,'מק"ט'!$F$2:$G$9,2,FALSE)&amp;D138</f>
        <v>76120414</v>
      </c>
      <c r="D138" s="52">
        <v>14</v>
      </c>
      <c r="E138" s="77" t="s">
        <v>171</v>
      </c>
      <c r="F138" s="88" t="s">
        <v>91</v>
      </c>
      <c r="G138" s="49" t="s">
        <v>21</v>
      </c>
      <c r="H138" s="68"/>
      <c r="I138" s="68"/>
      <c r="J138" s="68"/>
      <c r="K138" s="64"/>
      <c r="L138" s="227">
        <f t="shared" si="3"/>
        <v>135</v>
      </c>
      <c r="O138" s="42">
        <f>IFERROR(VLOOKUP(C138,תקציב!$D$22:$J$177,6,0),0)</f>
        <v>0</v>
      </c>
      <c r="P138" s="43">
        <f>IFERROR(VLOOKUP(C138,תקציב!$D$22:$J$177,5,0),0)</f>
        <v>0</v>
      </c>
      <c r="Q138" s="43">
        <f>IF(ISNUMBER(VLOOKUP(C138,תקציב!$D$22:$J$177,3,FALSE)),VLOOKUP(C138,תקציב!$D$22:$J$177,3,FALSE),1)</f>
        <v>1</v>
      </c>
      <c r="R138" s="43">
        <f t="shared" si="1"/>
        <v>0</v>
      </c>
      <c r="S138" s="44">
        <f t="shared" si="2"/>
        <v>0</v>
      </c>
      <c r="T138" s="186">
        <f>IFERROR(VLOOKUP(C138,תקציב!$D$22:$K$177,7,FALSE),0)-S138</f>
        <v>0</v>
      </c>
      <c r="Y138" s="81"/>
    </row>
    <row r="139" spans="2:25" ht="15" customHeight="1" x14ac:dyDescent="0.2">
      <c r="B139" s="32" t="str">
        <f t="shared" si="0"/>
        <v>שבועות</v>
      </c>
      <c r="C139" s="45" t="str">
        <f>'מק"ט'!$C$3&amp;VLOOKUP(G139,'מק"ט'!$D$2:$E$9,2,FALSE)&amp;VLOOKUP(E139,'מק"ט'!$F$2:$G$9,2,FALSE)&amp;D139</f>
        <v>76130414</v>
      </c>
      <c r="D139" s="52">
        <v>14</v>
      </c>
      <c r="E139" s="77" t="s">
        <v>171</v>
      </c>
      <c r="F139" s="88" t="s">
        <v>91</v>
      </c>
      <c r="G139" s="49" t="s">
        <v>26</v>
      </c>
      <c r="H139" s="68"/>
      <c r="I139" s="68"/>
      <c r="J139" s="68"/>
      <c r="K139" s="64"/>
      <c r="L139" s="227">
        <f t="shared" si="3"/>
        <v>135</v>
      </c>
      <c r="O139" s="42">
        <f>IFERROR(VLOOKUP(C139,תקציב!$D$22:$J$177,6,0),0)</f>
        <v>0</v>
      </c>
      <c r="P139" s="43">
        <f>IFERROR(VLOOKUP(C139,תקציב!$D$22:$J$177,5,0),0)</f>
        <v>0</v>
      </c>
      <c r="Q139" s="43">
        <f>IF(ISNUMBER(VLOOKUP(C139,תקציב!$D$22:$J$177,3,FALSE)),VLOOKUP(C139,תקציב!$D$22:$J$177,3,FALSE),1)</f>
        <v>1</v>
      </c>
      <c r="R139" s="43">
        <f t="shared" si="1"/>
        <v>0</v>
      </c>
      <c r="S139" s="44">
        <f t="shared" si="2"/>
        <v>0</v>
      </c>
      <c r="T139" s="186">
        <f>IFERROR(VLOOKUP(C139,תקציב!$D$22:$K$177,7,FALSE),0)-S139</f>
        <v>0</v>
      </c>
      <c r="Y139" s="81"/>
    </row>
    <row r="140" spans="2:25" ht="15" customHeight="1" x14ac:dyDescent="0.2">
      <c r="B140" s="32" t="str">
        <f t="shared" ref="B140:B141" si="33">G140</f>
        <v>חודשים</v>
      </c>
      <c r="C140" s="45" t="str">
        <f>'מק"ט'!$C$3&amp;VLOOKUP(G140,'מק"ט'!$D$2:$E$9,2,FALSE)&amp;VLOOKUP(E140,'מק"ט'!$F$2:$G$9,2,FALSE)&amp;D140</f>
        <v>76140414</v>
      </c>
      <c r="D140" s="52">
        <v>14</v>
      </c>
      <c r="E140" s="77" t="s">
        <v>171</v>
      </c>
      <c r="F140" s="88" t="s">
        <v>91</v>
      </c>
      <c r="G140" s="49" t="s">
        <v>24</v>
      </c>
      <c r="H140" s="68"/>
      <c r="I140" s="68"/>
      <c r="J140" s="68"/>
      <c r="K140" s="64"/>
      <c r="L140" s="227">
        <f t="shared" si="3"/>
        <v>135</v>
      </c>
      <c r="O140" s="42"/>
      <c r="P140" s="43"/>
      <c r="Q140" s="43"/>
      <c r="R140" s="43"/>
      <c r="S140" s="44"/>
      <c r="T140" s="186"/>
      <c r="Y140" s="81"/>
    </row>
    <row r="141" spans="2:25" ht="15" customHeight="1" x14ac:dyDescent="0.2">
      <c r="B141" s="32" t="str">
        <f t="shared" si="33"/>
        <v>עונתי גלובלי</v>
      </c>
      <c r="C141" s="45" t="str">
        <f>'מק"ט'!$C$3&amp;VLOOKUP(G141,'מק"ט'!$D$2:$E$9,2,FALSE)&amp;VLOOKUP(E141,'מק"ט'!$F$2:$G$9,2,FALSE)&amp;D141</f>
        <v>76150414</v>
      </c>
      <c r="D141" s="52">
        <v>14</v>
      </c>
      <c r="E141" s="77" t="s">
        <v>171</v>
      </c>
      <c r="F141" s="88" t="s">
        <v>91</v>
      </c>
      <c r="G141" s="49" t="s">
        <v>23</v>
      </c>
      <c r="H141" s="68"/>
      <c r="I141" s="68"/>
      <c r="J141" s="68"/>
      <c r="K141" s="64"/>
      <c r="L141" s="227">
        <f t="shared" si="3"/>
        <v>135</v>
      </c>
      <c r="O141" s="42"/>
      <c r="P141" s="43"/>
      <c r="Q141" s="43"/>
      <c r="R141" s="43"/>
      <c r="S141" s="44"/>
      <c r="T141" s="186"/>
      <c r="Y141" s="81"/>
    </row>
    <row r="142" spans="2:25" ht="15" customHeight="1" x14ac:dyDescent="0.2">
      <c r="B142" s="32" t="str">
        <f t="shared" si="0"/>
        <v>תכניות/פרקים</v>
      </c>
      <c r="C142" s="45" t="str">
        <f>'מק"ט'!$C$3&amp;VLOOKUP(G142,'מק"ט'!$D$2:$E$9,2,FALSE)&amp;VLOOKUP(E142,'מק"ט'!$F$2:$G$9,2,FALSE)&amp;D142</f>
        <v>76110408</v>
      </c>
      <c r="D142" s="58" t="s">
        <v>166</v>
      </c>
      <c r="E142" s="73" t="s">
        <v>171</v>
      </c>
      <c r="F142" s="89" t="s">
        <v>92</v>
      </c>
      <c r="G142" s="55" t="s">
        <v>25</v>
      </c>
      <c r="H142" s="75"/>
      <c r="I142" s="75"/>
      <c r="J142" s="75"/>
      <c r="K142" s="67"/>
      <c r="L142" s="227">
        <f t="shared" si="3"/>
        <v>140</v>
      </c>
      <c r="O142" s="42">
        <f>IFERROR(VLOOKUP(C142,תקציב!$D$22:$J$177,6,0),0)</f>
        <v>0</v>
      </c>
      <c r="P142" s="43">
        <f>IFERROR(VLOOKUP(C142,תקציב!$D$22:$J$177,5,0),0)</f>
        <v>0</v>
      </c>
      <c r="Q142" s="43">
        <f>IF(ISNUMBER(VLOOKUP(C142,תקציב!$D$22:$J$177,3,FALSE)),VLOOKUP(C142,תקציב!$D$22:$J$177,3,FALSE),1)</f>
        <v>1</v>
      </c>
      <c r="R142" s="43">
        <f t="shared" si="1"/>
        <v>0</v>
      </c>
      <c r="S142" s="44">
        <f t="shared" si="2"/>
        <v>0</v>
      </c>
      <c r="T142" s="186">
        <f>IFERROR(VLOOKUP(C142,תקציב!$D$22:$K$177,7,FALSE),0)-S142</f>
        <v>0</v>
      </c>
      <c r="Y142" s="81"/>
    </row>
    <row r="143" spans="2:25" ht="15" customHeight="1" x14ac:dyDescent="0.2">
      <c r="B143" s="32" t="str">
        <f t="shared" si="0"/>
        <v>ימים</v>
      </c>
      <c r="C143" s="45" t="str">
        <f>'מק"ט'!$C$3&amp;VLOOKUP(G143,'מק"ט'!$D$2:$E$9,2,FALSE)&amp;VLOOKUP(E143,'מק"ט'!$F$2:$G$9,2,FALSE)&amp;D143</f>
        <v>76120408</v>
      </c>
      <c r="D143" s="58" t="s">
        <v>166</v>
      </c>
      <c r="E143" s="73" t="s">
        <v>171</v>
      </c>
      <c r="F143" s="89" t="s">
        <v>92</v>
      </c>
      <c r="G143" s="55" t="s">
        <v>21</v>
      </c>
      <c r="H143" s="75"/>
      <c r="I143" s="75"/>
      <c r="J143" s="75"/>
      <c r="K143" s="67"/>
      <c r="L143" s="227">
        <f t="shared" si="3"/>
        <v>140</v>
      </c>
      <c r="O143" s="42">
        <f>IFERROR(VLOOKUP(C143,תקציב!$D$22:$J$177,6,0),0)</f>
        <v>0</v>
      </c>
      <c r="P143" s="43">
        <f>IFERROR(VLOOKUP(C143,תקציב!$D$22:$J$177,5,0),0)</f>
        <v>0</v>
      </c>
      <c r="Q143" s="43">
        <f>IF(ISNUMBER(VLOOKUP(C143,תקציב!$D$22:$J$177,3,FALSE)),VLOOKUP(C143,תקציב!$D$22:$J$177,3,FALSE),1)</f>
        <v>1</v>
      </c>
      <c r="R143" s="43">
        <f t="shared" si="1"/>
        <v>0</v>
      </c>
      <c r="S143" s="44">
        <f t="shared" si="2"/>
        <v>0</v>
      </c>
      <c r="T143" s="186">
        <f>IFERROR(VLOOKUP(C143,תקציב!$D$22:$K$177,7,FALSE),0)-S143</f>
        <v>0</v>
      </c>
      <c r="Y143" s="81"/>
    </row>
    <row r="144" spans="2:25" ht="15" customHeight="1" x14ac:dyDescent="0.2">
      <c r="B144" s="32" t="str">
        <f t="shared" si="0"/>
        <v>שבועות</v>
      </c>
      <c r="C144" s="45" t="str">
        <f>'מק"ט'!$C$3&amp;VLOOKUP(G144,'מק"ט'!$D$2:$E$9,2,FALSE)&amp;VLOOKUP(E144,'מק"ט'!$F$2:$G$9,2,FALSE)&amp;D172</f>
        <v>76130409</v>
      </c>
      <c r="D144" s="32"/>
      <c r="E144" s="73" t="s">
        <v>171</v>
      </c>
      <c r="F144" s="89" t="s">
        <v>92</v>
      </c>
      <c r="G144" s="55" t="s">
        <v>26</v>
      </c>
      <c r="H144" s="75"/>
      <c r="I144" s="75"/>
      <c r="J144" s="75"/>
      <c r="K144" s="67"/>
      <c r="L144" s="227">
        <f t="shared" si="3"/>
        <v>140</v>
      </c>
      <c r="O144" s="42">
        <f>IFERROR(VLOOKUP(C144,תקציב!$D$22:$J$177,6,0),0)</f>
        <v>0</v>
      </c>
      <c r="P144" s="43">
        <f>IFERROR(VLOOKUP(C144,תקציב!$D$22:$J$177,5,0),0)</f>
        <v>0</v>
      </c>
      <c r="Q144" s="43">
        <f>IF(ISNUMBER(VLOOKUP(C144,תקציב!$D$22:$J$177,3,FALSE)),VLOOKUP(C144,תקציב!$D$22:$J$177,3,FALSE),1)</f>
        <v>1</v>
      </c>
      <c r="R144" s="43">
        <f t="shared" si="1"/>
        <v>0</v>
      </c>
      <c r="S144" s="44">
        <f t="shared" si="2"/>
        <v>0</v>
      </c>
      <c r="T144" s="186">
        <f>IFERROR(VLOOKUP(C144,תקציב!$D$22:$K$177,7,FALSE),0)-S144</f>
        <v>0</v>
      </c>
      <c r="Y144" s="81"/>
    </row>
    <row r="145" spans="1:25" ht="15" customHeight="1" x14ac:dyDescent="0.2">
      <c r="B145" s="32" t="str">
        <f t="shared" ref="B145:B146" si="34">G145</f>
        <v>חודשים</v>
      </c>
      <c r="C145" s="45" t="str">
        <f>'מק"ט'!$C$3&amp;VLOOKUP(G145,'מק"ט'!$D$2:$E$9,2,FALSE)&amp;VLOOKUP(E145,'מק"ט'!$F$2:$G$9,2,FALSE)&amp;D145</f>
        <v>76140408</v>
      </c>
      <c r="D145" s="58" t="s">
        <v>166</v>
      </c>
      <c r="E145" s="73" t="s">
        <v>171</v>
      </c>
      <c r="F145" s="89" t="s">
        <v>92</v>
      </c>
      <c r="G145" s="55" t="s">
        <v>24</v>
      </c>
      <c r="H145" s="75"/>
      <c r="I145" s="75"/>
      <c r="J145" s="75"/>
      <c r="K145" s="67"/>
      <c r="L145" s="227">
        <f t="shared" ref="L145:L351" si="35">IF(F145=F144,L144,L144+5)</f>
        <v>140</v>
      </c>
      <c r="O145" s="42"/>
      <c r="P145" s="43"/>
      <c r="Q145" s="43"/>
      <c r="R145" s="43"/>
      <c r="S145" s="44"/>
      <c r="T145" s="186"/>
      <c r="Y145" s="81"/>
    </row>
    <row r="146" spans="1:25" ht="15" customHeight="1" x14ac:dyDescent="0.2">
      <c r="B146" s="32" t="str">
        <f t="shared" si="34"/>
        <v>עונתי גלובלי</v>
      </c>
      <c r="C146" s="45" t="str">
        <f>'מק"ט'!$C$3&amp;VLOOKUP(G146,'מק"ט'!$D$2:$E$9,2,FALSE)&amp;VLOOKUP(E146,'מק"ט'!$F$2:$G$9,2,FALSE)&amp;D146</f>
        <v>76150408</v>
      </c>
      <c r="D146" s="58" t="s">
        <v>166</v>
      </c>
      <c r="E146" s="73" t="s">
        <v>171</v>
      </c>
      <c r="F146" s="89" t="s">
        <v>92</v>
      </c>
      <c r="G146" s="55" t="s">
        <v>23</v>
      </c>
      <c r="H146" s="75"/>
      <c r="I146" s="75"/>
      <c r="J146" s="75"/>
      <c r="K146" s="67"/>
      <c r="L146" s="227">
        <f t="shared" si="35"/>
        <v>140</v>
      </c>
      <c r="O146" s="42"/>
      <c r="P146" s="43"/>
      <c r="Q146" s="43"/>
      <c r="R146" s="43"/>
      <c r="S146" s="44"/>
      <c r="T146" s="186"/>
      <c r="Y146" s="81"/>
    </row>
    <row r="147" spans="1:25" ht="14.25" customHeight="1" x14ac:dyDescent="0.2">
      <c r="B147" s="32" t="str">
        <f t="shared" si="0"/>
        <v>תכניות/פרקים</v>
      </c>
      <c r="C147" s="45" t="str">
        <f>'מק"ט'!$C$3&amp;VLOOKUP(G147,'מק"ט'!$D$2:$E$9,2,FALSE)&amp;VLOOKUP(E147,'מק"ט'!$F$2:$G$9,2,FALSE)&amp;D147</f>
        <v>76110415</v>
      </c>
      <c r="D147" s="52">
        <v>15</v>
      </c>
      <c r="E147" s="77" t="s">
        <v>171</v>
      </c>
      <c r="F147" s="88" t="s">
        <v>93</v>
      </c>
      <c r="G147" s="49" t="s">
        <v>25</v>
      </c>
      <c r="H147" s="68"/>
      <c r="I147" s="68"/>
      <c r="J147" s="68"/>
      <c r="K147" s="64"/>
      <c r="L147" s="227">
        <f t="shared" si="35"/>
        <v>145</v>
      </c>
      <c r="O147" s="42">
        <f>IFERROR(VLOOKUP(C147,תקציב!$D$22:$J$177,6,0),0)</f>
        <v>0</v>
      </c>
      <c r="P147" s="43">
        <f>IFERROR(VLOOKUP(C147,תקציב!$D$22:$J$177,5,0),0)</f>
        <v>0</v>
      </c>
      <c r="Q147" s="43">
        <f>IF(ISNUMBER(VLOOKUP(C147,תקציב!$D$22:$J$177,3,FALSE)),VLOOKUP(C147,תקציב!$D$22:$J$177,3,FALSE),1)</f>
        <v>1</v>
      </c>
      <c r="R147" s="43">
        <f t="shared" si="1"/>
        <v>0</v>
      </c>
      <c r="S147" s="44">
        <f t="shared" si="2"/>
        <v>0</v>
      </c>
      <c r="T147" s="186">
        <f>IFERROR(VLOOKUP(C147,תקציב!$D$22:$K$177,7,FALSE),0)-S147</f>
        <v>0</v>
      </c>
      <c r="Y147" s="81"/>
    </row>
    <row r="148" spans="1:25" ht="15" customHeight="1" x14ac:dyDescent="0.2">
      <c r="B148" s="32" t="str">
        <f t="shared" si="0"/>
        <v>ימים</v>
      </c>
      <c r="C148" s="45" t="str">
        <f>'מק"ט'!$C$3&amp;VLOOKUP(G148,'מק"ט'!$D$2:$E$9,2,FALSE)&amp;VLOOKUP(E148,'מק"ט'!$F$2:$G$9,2,FALSE)&amp;D148</f>
        <v>76120415</v>
      </c>
      <c r="D148" s="52">
        <v>15</v>
      </c>
      <c r="E148" s="77" t="s">
        <v>171</v>
      </c>
      <c r="F148" s="88" t="s">
        <v>93</v>
      </c>
      <c r="G148" s="49" t="s">
        <v>21</v>
      </c>
      <c r="H148" s="68"/>
      <c r="I148" s="68"/>
      <c r="J148" s="68"/>
      <c r="K148" s="64"/>
      <c r="L148" s="227">
        <f t="shared" si="35"/>
        <v>145</v>
      </c>
      <c r="O148" s="42">
        <f>IFERROR(VLOOKUP(C148,תקציב!$D$22:$J$177,6,0),0)</f>
        <v>0</v>
      </c>
      <c r="P148" s="43">
        <f>IFERROR(VLOOKUP(C148,תקציב!$D$22:$J$177,5,0),0)</f>
        <v>0</v>
      </c>
      <c r="Q148" s="43">
        <f>IF(ISNUMBER(VLOOKUP(C148,תקציב!$D$22:$J$177,3,FALSE)),VLOOKUP(C148,תקציב!$D$22:$J$177,3,FALSE),1)</f>
        <v>1</v>
      </c>
      <c r="R148" s="43">
        <f t="shared" si="1"/>
        <v>0</v>
      </c>
      <c r="S148" s="44">
        <f t="shared" si="2"/>
        <v>0</v>
      </c>
      <c r="T148" s="186">
        <f>IFERROR(VLOOKUP(C148,תקציב!$D$22:$K$177,7,FALSE),0)-S148</f>
        <v>0</v>
      </c>
      <c r="Y148" s="81"/>
    </row>
    <row r="149" spans="1:25" ht="15" customHeight="1" x14ac:dyDescent="0.2">
      <c r="B149" s="32" t="str">
        <f t="shared" si="0"/>
        <v>שבועות</v>
      </c>
      <c r="C149" s="45" t="str">
        <f>'מק"ט'!$C$3&amp;VLOOKUP(G149,'מק"ט'!$D$2:$E$9,2,FALSE)&amp;VLOOKUP(E149,'מק"ט'!$F$2:$G$9,2,FALSE)&amp;D149</f>
        <v>76130415</v>
      </c>
      <c r="D149" s="52">
        <v>15</v>
      </c>
      <c r="E149" s="77" t="s">
        <v>171</v>
      </c>
      <c r="F149" s="88" t="s">
        <v>93</v>
      </c>
      <c r="G149" s="49" t="s">
        <v>26</v>
      </c>
      <c r="H149" s="68"/>
      <c r="I149" s="68"/>
      <c r="J149" s="68"/>
      <c r="K149" s="64"/>
      <c r="L149" s="227">
        <f t="shared" si="35"/>
        <v>145</v>
      </c>
      <c r="O149" s="42">
        <f>IFERROR(VLOOKUP(C149,תקציב!$D$22:$J$177,6,0),0)</f>
        <v>0</v>
      </c>
      <c r="P149" s="43">
        <f>IFERROR(VLOOKUP(C149,תקציב!$D$22:$J$177,5,0),0)</f>
        <v>0</v>
      </c>
      <c r="Q149" s="43">
        <f>IF(ISNUMBER(VLOOKUP(C149,תקציב!$D$22:$J$177,3,FALSE)),VLOOKUP(C149,תקציב!$D$22:$J$177,3,FALSE),1)</f>
        <v>1</v>
      </c>
      <c r="R149" s="43">
        <f t="shared" si="1"/>
        <v>0</v>
      </c>
      <c r="S149" s="44">
        <f t="shared" si="2"/>
        <v>0</v>
      </c>
      <c r="T149" s="186">
        <f>IFERROR(VLOOKUP(C149,תקציב!$D$22:$K$177,7,FALSE),0)-S149</f>
        <v>0</v>
      </c>
      <c r="Y149" s="81"/>
    </row>
    <row r="150" spans="1:25" ht="15" customHeight="1" x14ac:dyDescent="0.2">
      <c r="B150" s="32" t="str">
        <f t="shared" ref="B150:B151" si="36">G150</f>
        <v>חודשים</v>
      </c>
      <c r="C150" s="45" t="str">
        <f>'מק"ט'!$C$3&amp;VLOOKUP(G150,'מק"ט'!$D$2:$E$9,2,FALSE)&amp;VLOOKUP(E150,'מק"ט'!$F$2:$G$9,2,FALSE)&amp;D150</f>
        <v>76140416</v>
      </c>
      <c r="D150" s="52">
        <v>16</v>
      </c>
      <c r="E150" s="77" t="s">
        <v>171</v>
      </c>
      <c r="F150" s="88" t="s">
        <v>93</v>
      </c>
      <c r="G150" s="49" t="s">
        <v>24</v>
      </c>
      <c r="H150" s="68"/>
      <c r="I150" s="68"/>
      <c r="J150" s="68"/>
      <c r="K150" s="64"/>
      <c r="L150" s="227">
        <f t="shared" si="35"/>
        <v>145</v>
      </c>
      <c r="O150" s="42"/>
      <c r="P150" s="43"/>
      <c r="Q150" s="43"/>
      <c r="R150" s="43"/>
      <c r="S150" s="44"/>
      <c r="T150" s="186"/>
      <c r="Y150" s="81"/>
    </row>
    <row r="151" spans="1:25" ht="15" customHeight="1" x14ac:dyDescent="0.2">
      <c r="B151" s="32" t="str">
        <f t="shared" si="36"/>
        <v>עונתי גלובלי</v>
      </c>
      <c r="C151" s="45" t="str">
        <f>'מק"ט'!$C$3&amp;VLOOKUP(G151,'מק"ט'!$D$2:$E$9,2,FALSE)&amp;VLOOKUP(E151,'מק"ט'!$F$2:$G$9,2,FALSE)&amp;D151</f>
        <v>76150417</v>
      </c>
      <c r="D151" s="52">
        <v>17</v>
      </c>
      <c r="E151" s="77" t="s">
        <v>171</v>
      </c>
      <c r="F151" s="88" t="s">
        <v>93</v>
      </c>
      <c r="G151" s="49" t="s">
        <v>23</v>
      </c>
      <c r="H151" s="68"/>
      <c r="I151" s="68"/>
      <c r="J151" s="68"/>
      <c r="K151" s="64"/>
      <c r="L151" s="227">
        <f t="shared" si="35"/>
        <v>145</v>
      </c>
      <c r="O151" s="42"/>
      <c r="P151" s="43"/>
      <c r="Q151" s="43"/>
      <c r="R151" s="43"/>
      <c r="S151" s="44"/>
      <c r="T151" s="186"/>
      <c r="Y151" s="81"/>
    </row>
    <row r="152" spans="1:25" ht="15" customHeight="1" x14ac:dyDescent="0.2">
      <c r="B152" s="32" t="str">
        <f t="shared" si="0"/>
        <v>תכניות/פרקים</v>
      </c>
      <c r="C152" s="45" t="str">
        <f>'מק"ט'!$C$3&amp;VLOOKUP(G152,'מק"ט'!$D$2:$E$9,2,FALSE)&amp;VLOOKUP(E152,'מק"ט'!$F$2:$G$9,2,FALSE)&amp;D152</f>
        <v>76110410</v>
      </c>
      <c r="D152" s="62">
        <v>10</v>
      </c>
      <c r="E152" s="73" t="s">
        <v>171</v>
      </c>
      <c r="F152" s="89" t="s">
        <v>94</v>
      </c>
      <c r="G152" s="55" t="s">
        <v>25</v>
      </c>
      <c r="H152" s="75"/>
      <c r="I152" s="75"/>
      <c r="J152" s="75"/>
      <c r="K152" s="67"/>
      <c r="L152" s="227">
        <f t="shared" si="35"/>
        <v>150</v>
      </c>
      <c r="O152" s="42">
        <f>IFERROR(VLOOKUP(C152,תקציב!$D$22:$J$177,6,0),0)</f>
        <v>0</v>
      </c>
      <c r="P152" s="43">
        <f>IFERROR(VLOOKUP(C152,תקציב!$D$22:$J$177,5,0),0)</f>
        <v>0</v>
      </c>
      <c r="Q152" s="43">
        <f>IF(ISNUMBER(VLOOKUP(C152,תקציב!$D$22:$J$177,3,FALSE)),VLOOKUP(C152,תקציב!$D$22:$J$177,3,FALSE),1)</f>
        <v>1</v>
      </c>
      <c r="R152" s="43">
        <f t="shared" si="1"/>
        <v>0</v>
      </c>
      <c r="S152" s="44">
        <f t="shared" si="2"/>
        <v>0</v>
      </c>
      <c r="T152" s="186">
        <f>IFERROR(VLOOKUP(C152,תקציב!$D$22:$K$177,7,FALSE),0)-S152</f>
        <v>0</v>
      </c>
      <c r="Y152" s="81"/>
    </row>
    <row r="153" spans="1:25" ht="15" customHeight="1" x14ac:dyDescent="0.2">
      <c r="B153" s="32" t="str">
        <f t="shared" si="0"/>
        <v>ימים</v>
      </c>
      <c r="C153" s="45" t="str">
        <f>'מק"ט'!$C$3&amp;VLOOKUP(G153,'מק"ט'!$D$2:$E$9,2,FALSE)&amp;VLOOKUP(E153,'מק"ט'!$F$2:$G$9,2,FALSE)&amp;D153</f>
        <v>76120410</v>
      </c>
      <c r="D153" s="62">
        <v>10</v>
      </c>
      <c r="E153" s="73" t="s">
        <v>171</v>
      </c>
      <c r="F153" s="89" t="s">
        <v>94</v>
      </c>
      <c r="G153" s="55" t="s">
        <v>21</v>
      </c>
      <c r="H153" s="75"/>
      <c r="I153" s="75"/>
      <c r="J153" s="75"/>
      <c r="K153" s="67"/>
      <c r="L153" s="227">
        <f t="shared" si="35"/>
        <v>150</v>
      </c>
      <c r="O153" s="42">
        <f>IFERROR(VLOOKUP(C153,תקציב!$D$22:$J$177,6,0),0)</f>
        <v>0</v>
      </c>
      <c r="P153" s="43">
        <f>IFERROR(VLOOKUP(C153,תקציב!$D$22:$J$177,5,0),0)</f>
        <v>0</v>
      </c>
      <c r="Q153" s="43">
        <f>IF(ISNUMBER(VLOOKUP(C153,תקציב!$D$22:$J$177,3,FALSE)),VLOOKUP(C153,תקציב!$D$22:$J$177,3,FALSE),1)</f>
        <v>1</v>
      </c>
      <c r="R153" s="43">
        <f t="shared" si="1"/>
        <v>0</v>
      </c>
      <c r="S153" s="44">
        <f t="shared" si="2"/>
        <v>0</v>
      </c>
      <c r="T153" s="186">
        <f>IFERROR(VLOOKUP(C153,תקציב!$D$22:$K$177,7,FALSE),0)-S153</f>
        <v>0</v>
      </c>
      <c r="Y153" s="81"/>
    </row>
    <row r="154" spans="1:25" ht="15" customHeight="1" x14ac:dyDescent="0.2">
      <c r="B154" s="32" t="str">
        <f t="shared" ref="B154:B156" si="37">G154</f>
        <v>שבועות</v>
      </c>
      <c r="C154" s="45" t="str">
        <f>'מק"ט'!$C$3&amp;VLOOKUP(G154,'מק"ט'!$D$2:$E$9,2,FALSE)&amp;VLOOKUP(E154,'מק"ט'!$F$2:$G$9,2,FALSE)&amp;D154</f>
        <v>76130410</v>
      </c>
      <c r="D154" s="62">
        <v>10</v>
      </c>
      <c r="E154" s="73" t="s">
        <v>171</v>
      </c>
      <c r="F154" s="89" t="s">
        <v>94</v>
      </c>
      <c r="G154" s="55" t="s">
        <v>26</v>
      </c>
      <c r="H154" s="75"/>
      <c r="I154" s="75"/>
      <c r="J154" s="75"/>
      <c r="K154" s="67"/>
      <c r="L154" s="227">
        <f t="shared" si="35"/>
        <v>150</v>
      </c>
      <c r="O154" s="42"/>
      <c r="P154" s="43"/>
      <c r="Q154" s="43"/>
      <c r="R154" s="43"/>
      <c r="S154" s="44"/>
      <c r="T154" s="186"/>
      <c r="Y154" s="81"/>
    </row>
    <row r="155" spans="1:25" ht="15" customHeight="1" x14ac:dyDescent="0.2">
      <c r="B155" s="32" t="str">
        <f t="shared" si="37"/>
        <v>חודשים</v>
      </c>
      <c r="C155" s="45" t="str">
        <f>'מק"ט'!$C$3&amp;VLOOKUP(G155,'מק"ט'!$D$2:$E$9,2,FALSE)&amp;VLOOKUP(E155,'מק"ט'!$F$2:$G$9,2,FALSE)&amp;D155</f>
        <v>76140410</v>
      </c>
      <c r="D155" s="62">
        <v>10</v>
      </c>
      <c r="E155" s="73" t="s">
        <v>171</v>
      </c>
      <c r="F155" s="89" t="s">
        <v>94</v>
      </c>
      <c r="G155" s="55" t="s">
        <v>24</v>
      </c>
      <c r="H155" s="75"/>
      <c r="I155" s="75"/>
      <c r="J155" s="75"/>
      <c r="K155" s="67"/>
      <c r="L155" s="227">
        <f t="shared" si="35"/>
        <v>150</v>
      </c>
      <c r="O155" s="42"/>
      <c r="P155" s="43"/>
      <c r="Q155" s="43"/>
      <c r="R155" s="43"/>
      <c r="S155" s="44"/>
      <c r="T155" s="186"/>
      <c r="Y155" s="81"/>
    </row>
    <row r="156" spans="1:25" ht="15" customHeight="1" x14ac:dyDescent="0.2">
      <c r="B156" s="32" t="str">
        <f t="shared" si="37"/>
        <v>עונתי גלובלי</v>
      </c>
      <c r="C156" s="45" t="str">
        <f>'מק"ט'!$C$3&amp;VLOOKUP(G156,'מק"ט'!$D$2:$E$9,2,FALSE)&amp;VLOOKUP(E156,'מק"ט'!$F$2:$G$9,2,FALSE)&amp;D156</f>
        <v>76150410</v>
      </c>
      <c r="D156" s="62">
        <v>10</v>
      </c>
      <c r="E156" s="73" t="s">
        <v>171</v>
      </c>
      <c r="F156" s="89" t="s">
        <v>94</v>
      </c>
      <c r="G156" s="55" t="s">
        <v>23</v>
      </c>
      <c r="H156" s="75"/>
      <c r="I156" s="75"/>
      <c r="J156" s="75"/>
      <c r="K156" s="67"/>
      <c r="L156" s="227">
        <f t="shared" si="35"/>
        <v>150</v>
      </c>
      <c r="O156" s="42"/>
      <c r="P156" s="43"/>
      <c r="Q156" s="43"/>
      <c r="R156" s="43"/>
      <c r="S156" s="44"/>
      <c r="T156" s="186"/>
      <c r="Y156" s="81"/>
    </row>
    <row r="157" spans="1:25" ht="15" customHeight="1" x14ac:dyDescent="0.2">
      <c r="A157" s="228"/>
      <c r="B157" s="228" t="str">
        <f t="shared" si="0"/>
        <v>תכניות/פרקים</v>
      </c>
      <c r="C157" s="45" t="str">
        <f>'מק"ט'!$C$3&amp;VLOOKUP(G157,'מק"ט'!$D$2:$E$9,2,FALSE)&amp;VLOOKUP(E157,'מק"ט'!$F$2:$G$9,2,FALSE)&amp;D157</f>
        <v>76110411</v>
      </c>
      <c r="D157" s="52">
        <v>11</v>
      </c>
      <c r="E157" s="77" t="s">
        <v>171</v>
      </c>
      <c r="F157" s="88" t="s">
        <v>95</v>
      </c>
      <c r="G157" s="49" t="s">
        <v>25</v>
      </c>
      <c r="H157" s="68"/>
      <c r="I157" s="68"/>
      <c r="J157" s="68"/>
      <c r="K157" s="64"/>
      <c r="L157" s="227">
        <f t="shared" si="35"/>
        <v>155</v>
      </c>
      <c r="O157" s="42">
        <f>IFERROR(VLOOKUP(C157,תקציב!$D$22:$J$177,6,0),0)</f>
        <v>0</v>
      </c>
      <c r="P157" s="43">
        <f>IFERROR(VLOOKUP(C157,תקציב!$D$22:$J$177,5,0),0)</f>
        <v>0</v>
      </c>
      <c r="Q157" s="43">
        <f>IF(ISNUMBER(VLOOKUP(C157,תקציב!$D$22:$J$177,3,FALSE)),VLOOKUP(C157,תקציב!$D$22:$J$177,3,FALSE),1)</f>
        <v>1</v>
      </c>
      <c r="R157" s="43">
        <f t="shared" si="1"/>
        <v>0</v>
      </c>
      <c r="S157" s="44">
        <f t="shared" si="2"/>
        <v>0</v>
      </c>
      <c r="T157" s="186">
        <f>IFERROR(VLOOKUP(C157,תקציב!$D$22:$K$177,7,FALSE),0)-S157</f>
        <v>0</v>
      </c>
      <c r="Y157" s="81"/>
    </row>
    <row r="158" spans="1:25" ht="15" customHeight="1" x14ac:dyDescent="0.2">
      <c r="A158" s="228"/>
      <c r="B158" s="228" t="str">
        <f t="shared" si="0"/>
        <v>ימים</v>
      </c>
      <c r="C158" s="45" t="str">
        <f>'מק"ט'!$C$3&amp;VLOOKUP(G158,'מק"ט'!$D$2:$E$9,2,FALSE)&amp;VLOOKUP(E158,'מק"ט'!$F$2:$G$9,2,FALSE)&amp;D158</f>
        <v>76120411</v>
      </c>
      <c r="D158" s="52">
        <v>11</v>
      </c>
      <c r="E158" s="77" t="s">
        <v>171</v>
      </c>
      <c r="F158" s="88" t="s">
        <v>95</v>
      </c>
      <c r="G158" s="49" t="s">
        <v>21</v>
      </c>
      <c r="H158" s="68"/>
      <c r="I158" s="68"/>
      <c r="J158" s="68"/>
      <c r="K158" s="64"/>
      <c r="L158" s="227">
        <f t="shared" si="35"/>
        <v>155</v>
      </c>
      <c r="O158" s="42">
        <f>IFERROR(VLOOKUP(C158,תקציב!$D$22:$J$177,6,0),0)</f>
        <v>0</v>
      </c>
      <c r="P158" s="43">
        <f>IFERROR(VLOOKUP(C158,תקציב!$D$22:$J$177,5,0),0)</f>
        <v>0</v>
      </c>
      <c r="Q158" s="43">
        <f>IF(ISNUMBER(VLOOKUP(C158,תקציב!$D$22:$J$177,3,FALSE)),VLOOKUP(C158,תקציב!$D$22:$J$177,3,FALSE),1)</f>
        <v>1</v>
      </c>
      <c r="R158" s="43">
        <f t="shared" si="1"/>
        <v>0</v>
      </c>
      <c r="S158" s="44">
        <f t="shared" si="2"/>
        <v>0</v>
      </c>
      <c r="T158" s="186">
        <f>IFERROR(VLOOKUP(C158,תקציב!$D$22:$K$177,7,FALSE),0)-S158</f>
        <v>0</v>
      </c>
      <c r="Y158" s="81"/>
    </row>
    <row r="159" spans="1:25" ht="15" customHeight="1" x14ac:dyDescent="0.2">
      <c r="A159" s="228"/>
      <c r="B159" s="228" t="str">
        <f t="shared" ref="B159:B161" si="38">G159</f>
        <v>שבועות</v>
      </c>
      <c r="C159" s="45" t="str">
        <f>'מק"ט'!$C$3&amp;VLOOKUP(G159,'מק"ט'!$D$2:$E$9,2,FALSE)&amp;VLOOKUP(E159,'מק"ט'!$F$2:$G$9,2,FALSE)&amp;D159</f>
        <v>76130411</v>
      </c>
      <c r="D159" s="52">
        <v>11</v>
      </c>
      <c r="E159" s="77" t="s">
        <v>171</v>
      </c>
      <c r="F159" s="88" t="s">
        <v>95</v>
      </c>
      <c r="G159" s="49" t="s">
        <v>26</v>
      </c>
      <c r="H159" s="68"/>
      <c r="I159" s="68"/>
      <c r="J159" s="68"/>
      <c r="K159" s="64"/>
      <c r="L159" s="227">
        <f t="shared" si="35"/>
        <v>155</v>
      </c>
      <c r="O159" s="42"/>
      <c r="P159" s="43"/>
      <c r="Q159" s="43"/>
      <c r="R159" s="43"/>
      <c r="S159" s="44"/>
      <c r="T159" s="186"/>
      <c r="Y159" s="81"/>
    </row>
    <row r="160" spans="1:25" ht="15" customHeight="1" x14ac:dyDescent="0.2">
      <c r="A160" s="228"/>
      <c r="B160" s="228" t="str">
        <f t="shared" si="38"/>
        <v>חודשים</v>
      </c>
      <c r="C160" s="45" t="str">
        <f>'מק"ט'!$C$3&amp;VLOOKUP(G160,'מק"ט'!$D$2:$E$9,2,FALSE)&amp;VLOOKUP(E160,'מק"ט'!$F$2:$G$9,2,FALSE)&amp;D160</f>
        <v>76140411</v>
      </c>
      <c r="D160" s="52">
        <v>11</v>
      </c>
      <c r="E160" s="77" t="s">
        <v>171</v>
      </c>
      <c r="F160" s="88" t="s">
        <v>95</v>
      </c>
      <c r="G160" s="49" t="s">
        <v>24</v>
      </c>
      <c r="H160" s="68"/>
      <c r="I160" s="68"/>
      <c r="J160" s="68"/>
      <c r="K160" s="64"/>
      <c r="L160" s="227">
        <f t="shared" si="35"/>
        <v>155</v>
      </c>
      <c r="O160" s="42"/>
      <c r="P160" s="43"/>
      <c r="Q160" s="43"/>
      <c r="R160" s="43"/>
      <c r="S160" s="44"/>
      <c r="T160" s="186"/>
      <c r="Y160" s="81"/>
    </row>
    <row r="161" spans="1:25" ht="15" customHeight="1" x14ac:dyDescent="0.2">
      <c r="A161" s="228"/>
      <c r="B161" s="228" t="str">
        <f t="shared" si="38"/>
        <v>עונתי גלובלי</v>
      </c>
      <c r="C161" s="45" t="str">
        <f>'מק"ט'!$C$3&amp;VLOOKUP(G161,'מק"ט'!$D$2:$E$9,2,FALSE)&amp;VLOOKUP(E161,'מק"ט'!$F$2:$G$9,2,FALSE)&amp;D161</f>
        <v>76150411</v>
      </c>
      <c r="D161" s="52">
        <v>11</v>
      </c>
      <c r="E161" s="77" t="s">
        <v>171</v>
      </c>
      <c r="F161" s="88" t="s">
        <v>95</v>
      </c>
      <c r="G161" s="49" t="s">
        <v>23</v>
      </c>
      <c r="H161" s="68"/>
      <c r="I161" s="68"/>
      <c r="J161" s="68"/>
      <c r="K161" s="64"/>
      <c r="L161" s="227">
        <f t="shared" si="35"/>
        <v>155</v>
      </c>
      <c r="O161" s="42"/>
      <c r="P161" s="43"/>
      <c r="Q161" s="43"/>
      <c r="R161" s="43"/>
      <c r="S161" s="44"/>
      <c r="T161" s="186"/>
      <c r="Y161" s="81"/>
    </row>
    <row r="162" spans="1:25" ht="15" customHeight="1" x14ac:dyDescent="0.2">
      <c r="A162" s="228"/>
      <c r="B162" s="228" t="str">
        <f t="shared" ref="B162:B181" si="39">G162</f>
        <v>תכניות/פרקים</v>
      </c>
      <c r="C162" s="45" t="str">
        <f>'מק"ט'!$C$3&amp;VLOOKUP(G162,'מק"ט'!$D$2:$E$9,2,FALSE)&amp;VLOOKUP(E162,'מק"ט'!$F$2:$G$9,2,FALSE)&amp;D162</f>
        <v>76110412</v>
      </c>
      <c r="D162" s="52">
        <v>12</v>
      </c>
      <c r="E162" s="77" t="s">
        <v>171</v>
      </c>
      <c r="F162" s="94" t="s">
        <v>87</v>
      </c>
      <c r="G162" s="55" t="s">
        <v>25</v>
      </c>
      <c r="H162" s="68"/>
      <c r="I162" s="68"/>
      <c r="J162" s="68"/>
      <c r="K162" s="64"/>
      <c r="L162" s="227">
        <f t="shared" si="35"/>
        <v>160</v>
      </c>
      <c r="O162" s="42"/>
      <c r="P162" s="43"/>
      <c r="Q162" s="43"/>
      <c r="R162" s="43"/>
      <c r="S162" s="44"/>
      <c r="T162" s="186"/>
      <c r="Y162" s="81"/>
    </row>
    <row r="163" spans="1:25" ht="15" customHeight="1" x14ac:dyDescent="0.2">
      <c r="A163" s="228"/>
      <c r="B163" s="228" t="str">
        <f t="shared" si="39"/>
        <v>ימים</v>
      </c>
      <c r="C163" s="45" t="str">
        <f>'מק"ט'!$C$3&amp;VLOOKUP(G163,'מק"ט'!$D$2:$E$9,2,FALSE)&amp;VLOOKUP(E163,'מק"ט'!$F$2:$G$9,2,FALSE)&amp;D163</f>
        <v>76120412</v>
      </c>
      <c r="D163" s="52">
        <v>12</v>
      </c>
      <c r="E163" s="77" t="s">
        <v>171</v>
      </c>
      <c r="F163" s="94" t="s">
        <v>87</v>
      </c>
      <c r="G163" s="55" t="s">
        <v>21</v>
      </c>
      <c r="H163" s="68"/>
      <c r="I163" s="68"/>
      <c r="J163" s="68"/>
      <c r="K163" s="64"/>
      <c r="L163" s="227">
        <f t="shared" si="35"/>
        <v>160</v>
      </c>
      <c r="O163" s="42"/>
      <c r="P163" s="43"/>
      <c r="Q163" s="43"/>
      <c r="R163" s="43"/>
      <c r="S163" s="44"/>
      <c r="T163" s="186"/>
      <c r="Y163" s="81"/>
    </row>
    <row r="164" spans="1:25" ht="15" customHeight="1" x14ac:dyDescent="0.2">
      <c r="A164" s="228"/>
      <c r="B164" s="228" t="str">
        <f t="shared" si="39"/>
        <v>שבועות</v>
      </c>
      <c r="C164" s="45" t="str">
        <f>'מק"ט'!$C$3&amp;VLOOKUP(G164,'מק"ט'!$D$2:$E$9,2,FALSE)&amp;VLOOKUP(E164,'מק"ט'!$F$2:$G$9,2,FALSE)&amp;D164</f>
        <v>76130412</v>
      </c>
      <c r="D164" s="52">
        <v>12</v>
      </c>
      <c r="E164" s="77" t="s">
        <v>171</v>
      </c>
      <c r="F164" s="94" t="s">
        <v>87</v>
      </c>
      <c r="G164" s="55" t="s">
        <v>26</v>
      </c>
      <c r="H164" s="68"/>
      <c r="I164" s="68"/>
      <c r="J164" s="68"/>
      <c r="K164" s="64"/>
      <c r="L164" s="227">
        <f t="shared" si="35"/>
        <v>160</v>
      </c>
      <c r="O164" s="42"/>
      <c r="P164" s="43"/>
      <c r="Q164" s="43"/>
      <c r="R164" s="43"/>
      <c r="S164" s="44"/>
      <c r="T164" s="186"/>
      <c r="Y164" s="81"/>
    </row>
    <row r="165" spans="1:25" ht="15" customHeight="1" x14ac:dyDescent="0.2">
      <c r="A165" s="228"/>
      <c r="B165" s="228" t="str">
        <f t="shared" si="39"/>
        <v>חודשים</v>
      </c>
      <c r="C165" s="45" t="str">
        <f>'מק"ט'!$C$3&amp;VLOOKUP(G165,'מק"ט'!$D$2:$E$9,2,FALSE)&amp;VLOOKUP(E165,'מק"ט'!$F$2:$G$9,2,FALSE)&amp;D165</f>
        <v>76140412</v>
      </c>
      <c r="D165" s="52">
        <v>12</v>
      </c>
      <c r="E165" s="77" t="s">
        <v>171</v>
      </c>
      <c r="F165" s="94" t="s">
        <v>87</v>
      </c>
      <c r="G165" s="55" t="s">
        <v>24</v>
      </c>
      <c r="H165" s="68"/>
      <c r="I165" s="68"/>
      <c r="J165" s="68"/>
      <c r="K165" s="64"/>
      <c r="L165" s="227">
        <f t="shared" si="35"/>
        <v>160</v>
      </c>
      <c r="O165" s="42"/>
      <c r="P165" s="43"/>
      <c r="Q165" s="43"/>
      <c r="R165" s="43"/>
      <c r="S165" s="44"/>
      <c r="T165" s="186"/>
      <c r="Y165" s="81"/>
    </row>
    <row r="166" spans="1:25" ht="15" customHeight="1" x14ac:dyDescent="0.2">
      <c r="A166" s="228"/>
      <c r="B166" s="228" t="str">
        <f t="shared" si="39"/>
        <v>עונתי גלובלי</v>
      </c>
      <c r="C166" s="45" t="str">
        <f>'מק"ט'!$C$3&amp;VLOOKUP(G166,'מק"ט'!$D$2:$E$9,2,FALSE)&amp;VLOOKUP(E166,'מק"ט'!$F$2:$G$9,2,FALSE)&amp;D166</f>
        <v>76150412</v>
      </c>
      <c r="D166" s="52">
        <v>12</v>
      </c>
      <c r="E166" s="77" t="s">
        <v>171</v>
      </c>
      <c r="F166" s="94" t="s">
        <v>87</v>
      </c>
      <c r="G166" s="55" t="s">
        <v>23</v>
      </c>
      <c r="H166" s="68"/>
      <c r="I166" s="68"/>
      <c r="J166" s="68"/>
      <c r="K166" s="64"/>
      <c r="L166" s="227">
        <f t="shared" si="35"/>
        <v>160</v>
      </c>
      <c r="O166" s="42"/>
      <c r="P166" s="43"/>
      <c r="Q166" s="43"/>
      <c r="R166" s="43"/>
      <c r="S166" s="44"/>
      <c r="T166" s="186"/>
      <c r="Y166" s="81"/>
    </row>
    <row r="167" spans="1:25" ht="15" customHeight="1" x14ac:dyDescent="0.2">
      <c r="A167" s="228"/>
      <c r="B167" s="228" t="str">
        <f t="shared" si="39"/>
        <v>תכניות/פרקים</v>
      </c>
      <c r="C167" s="45" t="str">
        <f>'מק"ט'!$C$3&amp;VLOOKUP(G167,'מק"ט'!$D$2:$E$9,2,FALSE)&amp;VLOOKUP(E167,'מק"ט'!$F$2:$G$9,2,FALSE)&amp;D167</f>
        <v>76110417</v>
      </c>
      <c r="D167" s="52">
        <v>17</v>
      </c>
      <c r="E167" s="77" t="s">
        <v>171</v>
      </c>
      <c r="F167" s="94" t="s">
        <v>263</v>
      </c>
      <c r="G167" s="49" t="s">
        <v>25</v>
      </c>
      <c r="H167" s="68"/>
      <c r="I167" s="68"/>
      <c r="J167" s="68"/>
      <c r="K167" s="64"/>
      <c r="L167" s="227">
        <f t="shared" si="35"/>
        <v>165</v>
      </c>
      <c r="O167" s="42"/>
      <c r="P167" s="43"/>
      <c r="Q167" s="43"/>
      <c r="R167" s="43"/>
      <c r="S167" s="44"/>
      <c r="T167" s="186"/>
      <c r="Y167" s="81"/>
    </row>
    <row r="168" spans="1:25" ht="15" customHeight="1" x14ac:dyDescent="0.2">
      <c r="A168" s="228"/>
      <c r="B168" s="228" t="str">
        <f t="shared" si="39"/>
        <v>ימים</v>
      </c>
      <c r="C168" s="45" t="str">
        <f>'מק"ט'!$C$3&amp;VLOOKUP(G168,'מק"ט'!$D$2:$E$9,2,FALSE)&amp;VLOOKUP(E168,'מק"ט'!$F$2:$G$9,2,FALSE)&amp;D168</f>
        <v>76120417</v>
      </c>
      <c r="D168" s="52">
        <v>17</v>
      </c>
      <c r="E168" s="77" t="s">
        <v>171</v>
      </c>
      <c r="F168" s="94" t="s">
        <v>263</v>
      </c>
      <c r="G168" s="49" t="s">
        <v>21</v>
      </c>
      <c r="H168" s="68"/>
      <c r="I168" s="68"/>
      <c r="J168" s="68"/>
      <c r="K168" s="64"/>
      <c r="L168" s="227">
        <f t="shared" si="35"/>
        <v>165</v>
      </c>
      <c r="O168" s="42"/>
      <c r="P168" s="43"/>
      <c r="Q168" s="43"/>
      <c r="R168" s="43"/>
      <c r="S168" s="44"/>
      <c r="T168" s="186"/>
      <c r="Y168" s="81"/>
    </row>
    <row r="169" spans="1:25" ht="15" customHeight="1" x14ac:dyDescent="0.2">
      <c r="A169" s="228"/>
      <c r="B169" s="228" t="str">
        <f t="shared" si="39"/>
        <v>שבועות</v>
      </c>
      <c r="C169" s="45" t="str">
        <f>'מק"ט'!$C$3&amp;VLOOKUP(G169,'מק"ט'!$D$2:$E$9,2,FALSE)&amp;VLOOKUP(E169,'מק"ט'!$F$2:$G$9,2,FALSE)&amp;D169</f>
        <v>76130417</v>
      </c>
      <c r="D169" s="52">
        <v>17</v>
      </c>
      <c r="E169" s="77" t="s">
        <v>171</v>
      </c>
      <c r="F169" s="94" t="s">
        <v>263</v>
      </c>
      <c r="G169" s="49" t="s">
        <v>26</v>
      </c>
      <c r="H169" s="68"/>
      <c r="I169" s="68"/>
      <c r="J169" s="68"/>
      <c r="K169" s="64"/>
      <c r="L169" s="227">
        <f t="shared" si="35"/>
        <v>165</v>
      </c>
      <c r="O169" s="42"/>
      <c r="P169" s="43"/>
      <c r="Q169" s="43"/>
      <c r="R169" s="43"/>
      <c r="S169" s="44"/>
      <c r="T169" s="186"/>
      <c r="Y169" s="81"/>
    </row>
    <row r="170" spans="1:25" ht="15" customHeight="1" x14ac:dyDescent="0.2">
      <c r="A170" s="228"/>
      <c r="B170" s="228" t="str">
        <f t="shared" si="39"/>
        <v>חודשים</v>
      </c>
      <c r="C170" s="45" t="str">
        <f>'מק"ט'!$C$3&amp;VLOOKUP(G170,'מק"ט'!$D$2:$E$9,2,FALSE)&amp;VLOOKUP(E170,'מק"ט'!$F$2:$G$9,2,FALSE)&amp;D170</f>
        <v>76140417</v>
      </c>
      <c r="D170" s="52">
        <v>17</v>
      </c>
      <c r="E170" s="77" t="s">
        <v>171</v>
      </c>
      <c r="F170" s="94" t="s">
        <v>263</v>
      </c>
      <c r="G170" s="49" t="s">
        <v>24</v>
      </c>
      <c r="H170" s="68"/>
      <c r="I170" s="68"/>
      <c r="J170" s="68"/>
      <c r="K170" s="64"/>
      <c r="L170" s="227">
        <f t="shared" si="35"/>
        <v>165</v>
      </c>
      <c r="O170" s="42"/>
      <c r="P170" s="43"/>
      <c r="Q170" s="43"/>
      <c r="R170" s="43"/>
      <c r="S170" s="44"/>
      <c r="T170" s="186"/>
      <c r="Y170" s="81"/>
    </row>
    <row r="171" spans="1:25" ht="15" customHeight="1" x14ac:dyDescent="0.2">
      <c r="A171" s="228"/>
      <c r="B171" s="228" t="str">
        <f t="shared" si="39"/>
        <v>עונתי גלובלי</v>
      </c>
      <c r="C171" s="45" t="str">
        <f>'מק"ט'!$C$3&amp;VLOOKUP(G171,'מק"ט'!$D$2:$E$9,2,FALSE)&amp;VLOOKUP(E171,'מק"ט'!$F$2:$G$9,2,FALSE)&amp;D171</f>
        <v>76150417</v>
      </c>
      <c r="D171" s="52">
        <v>17</v>
      </c>
      <c r="E171" s="77" t="s">
        <v>171</v>
      </c>
      <c r="F171" s="94" t="s">
        <v>263</v>
      </c>
      <c r="G171" s="49" t="s">
        <v>23</v>
      </c>
      <c r="H171" s="68"/>
      <c r="I171" s="68"/>
      <c r="J171" s="68"/>
      <c r="K171" s="64"/>
      <c r="L171" s="227">
        <f t="shared" si="35"/>
        <v>165</v>
      </c>
      <c r="O171" s="42"/>
      <c r="P171" s="43"/>
      <c r="Q171" s="43"/>
      <c r="R171" s="43"/>
      <c r="S171" s="44"/>
      <c r="T171" s="186"/>
      <c r="Y171" s="81"/>
    </row>
    <row r="172" spans="1:25" ht="15" customHeight="1" x14ac:dyDescent="0.2">
      <c r="A172" s="228"/>
      <c r="B172" s="228" t="str">
        <f t="shared" si="39"/>
        <v>תכניות/פרקים</v>
      </c>
      <c r="C172" s="45" t="str">
        <f>'מק"ט'!$C$3&amp;VLOOKUP(G172,'מק"ט'!$D$2:$E$9,2,FALSE)&amp;VLOOKUP(E172,'מק"ט'!$F$2:$G$9,2,FALSE)&amp;D172</f>
        <v>76110409</v>
      </c>
      <c r="D172" s="58" t="s">
        <v>161</v>
      </c>
      <c r="E172" s="77" t="s">
        <v>171</v>
      </c>
      <c r="F172" s="94" t="s">
        <v>214</v>
      </c>
      <c r="G172" s="55" t="s">
        <v>25</v>
      </c>
      <c r="H172" s="68"/>
      <c r="I172" s="68"/>
      <c r="J172" s="68"/>
      <c r="K172" s="64"/>
      <c r="L172" s="227">
        <f t="shared" si="35"/>
        <v>170</v>
      </c>
      <c r="O172" s="42"/>
      <c r="P172" s="43"/>
      <c r="Q172" s="43"/>
      <c r="R172" s="43"/>
      <c r="S172" s="44"/>
      <c r="T172" s="186"/>
      <c r="Y172" s="81"/>
    </row>
    <row r="173" spans="1:25" ht="15" customHeight="1" x14ac:dyDescent="0.2">
      <c r="A173" s="228"/>
      <c r="B173" s="228" t="str">
        <f t="shared" si="39"/>
        <v>ימים</v>
      </c>
      <c r="C173" s="45" t="str">
        <f>'מק"ט'!$C$3&amp;VLOOKUP(G173,'מק"ט'!$D$2:$E$9,2,FALSE)&amp;VLOOKUP(E173,'מק"ט'!$F$2:$G$9,2,FALSE)&amp;D173</f>
        <v>76120409</v>
      </c>
      <c r="D173" s="58" t="s">
        <v>161</v>
      </c>
      <c r="E173" s="77" t="s">
        <v>171</v>
      </c>
      <c r="F173" s="94" t="s">
        <v>214</v>
      </c>
      <c r="G173" s="55" t="s">
        <v>21</v>
      </c>
      <c r="H173" s="68"/>
      <c r="I173" s="68"/>
      <c r="J173" s="68"/>
      <c r="K173" s="64"/>
      <c r="L173" s="227">
        <f t="shared" si="35"/>
        <v>170</v>
      </c>
      <c r="O173" s="42"/>
      <c r="P173" s="43"/>
      <c r="Q173" s="43"/>
      <c r="R173" s="43"/>
      <c r="S173" s="44"/>
      <c r="T173" s="186"/>
      <c r="Y173" s="81"/>
    </row>
    <row r="174" spans="1:25" ht="15" customHeight="1" x14ac:dyDescent="0.2">
      <c r="A174" s="228"/>
      <c r="B174" s="228" t="str">
        <f t="shared" si="39"/>
        <v>שבועות</v>
      </c>
      <c r="C174" s="45" t="str">
        <f>'מק"ט'!$C$3&amp;VLOOKUP(G174,'מק"ט'!$D$2:$E$9,2,FALSE)&amp;VLOOKUP(E174,'מק"ט'!$F$2:$G$9,2,FALSE)&amp;D174</f>
        <v>76130409</v>
      </c>
      <c r="D174" s="58" t="s">
        <v>161</v>
      </c>
      <c r="E174" s="77" t="s">
        <v>171</v>
      </c>
      <c r="F174" s="94" t="s">
        <v>214</v>
      </c>
      <c r="G174" s="55" t="s">
        <v>26</v>
      </c>
      <c r="H174" s="68"/>
      <c r="I174" s="68"/>
      <c r="J174" s="68"/>
      <c r="K174" s="64"/>
      <c r="L174" s="227">
        <f t="shared" si="35"/>
        <v>170</v>
      </c>
      <c r="O174" s="42"/>
      <c r="P174" s="43"/>
      <c r="Q174" s="43"/>
      <c r="R174" s="43"/>
      <c r="S174" s="44"/>
      <c r="T174" s="186"/>
      <c r="Y174" s="81"/>
    </row>
    <row r="175" spans="1:25" ht="15" customHeight="1" x14ac:dyDescent="0.2">
      <c r="A175" s="228"/>
      <c r="B175" s="228" t="str">
        <f t="shared" si="39"/>
        <v>חודשים</v>
      </c>
      <c r="C175" s="45" t="str">
        <f>'מק"ט'!$C$3&amp;VLOOKUP(G175,'מק"ט'!$D$2:$E$9,2,FALSE)&amp;VLOOKUP(E175,'מק"ט'!$F$2:$G$9,2,FALSE)&amp;D175</f>
        <v>76140409</v>
      </c>
      <c r="D175" s="58" t="s">
        <v>161</v>
      </c>
      <c r="E175" s="77" t="s">
        <v>171</v>
      </c>
      <c r="F175" s="94" t="s">
        <v>214</v>
      </c>
      <c r="G175" s="55" t="s">
        <v>24</v>
      </c>
      <c r="H175" s="68"/>
      <c r="I175" s="68"/>
      <c r="J175" s="68"/>
      <c r="K175" s="64"/>
      <c r="L175" s="227">
        <f t="shared" si="35"/>
        <v>170</v>
      </c>
      <c r="O175" s="42"/>
      <c r="P175" s="43"/>
      <c r="Q175" s="43"/>
      <c r="R175" s="43"/>
      <c r="S175" s="44"/>
      <c r="T175" s="186"/>
      <c r="Y175" s="81"/>
    </row>
    <row r="176" spans="1:25" ht="15" customHeight="1" x14ac:dyDescent="0.2">
      <c r="A176" s="228"/>
      <c r="B176" s="228" t="str">
        <f t="shared" si="39"/>
        <v>עונתי גלובלי</v>
      </c>
      <c r="C176" s="45" t="str">
        <f>'מק"ט'!$C$3&amp;VLOOKUP(G176,'מק"ט'!$D$2:$E$9,2,FALSE)&amp;VLOOKUP(E176,'מק"ט'!$F$2:$G$9,2,FALSE)&amp;D176</f>
        <v>76150409</v>
      </c>
      <c r="D176" s="58" t="s">
        <v>161</v>
      </c>
      <c r="E176" s="77" t="s">
        <v>171</v>
      </c>
      <c r="F176" s="94" t="s">
        <v>214</v>
      </c>
      <c r="G176" s="55" t="s">
        <v>23</v>
      </c>
      <c r="H176" s="68"/>
      <c r="I176" s="68"/>
      <c r="J176" s="68"/>
      <c r="K176" s="64"/>
      <c r="L176" s="227">
        <f t="shared" si="35"/>
        <v>170</v>
      </c>
      <c r="O176" s="42"/>
      <c r="P176" s="43"/>
      <c r="Q176" s="43"/>
      <c r="R176" s="43"/>
      <c r="S176" s="44"/>
      <c r="T176" s="186"/>
      <c r="Y176" s="81"/>
    </row>
    <row r="177" spans="1:25" ht="15" customHeight="1" x14ac:dyDescent="0.2">
      <c r="A177" s="228"/>
      <c r="B177" s="228" t="str">
        <f t="shared" si="39"/>
        <v>תכניות/פרקים</v>
      </c>
      <c r="C177" s="45" t="str">
        <f>'מק"ט'!$C$3&amp;VLOOKUP(G177,'מק"ט'!$D$2:$E$9,2,FALSE)&amp;VLOOKUP(E177,'מק"ט'!$F$2:$G$9,2,FALSE)&amp;D177</f>
        <v>76110601</v>
      </c>
      <c r="D177" s="58" t="s">
        <v>167</v>
      </c>
      <c r="E177" s="77" t="s">
        <v>117</v>
      </c>
      <c r="F177" s="88" t="s">
        <v>105</v>
      </c>
      <c r="G177" s="49" t="s">
        <v>25</v>
      </c>
      <c r="H177" s="68"/>
      <c r="I177" s="68"/>
      <c r="J177" s="68"/>
      <c r="K177" s="64"/>
      <c r="L177" s="227">
        <f t="shared" si="35"/>
        <v>175</v>
      </c>
      <c r="O177" s="42"/>
      <c r="P177" s="43"/>
      <c r="Q177" s="43"/>
      <c r="R177" s="43"/>
      <c r="S177" s="44"/>
      <c r="T177" s="186"/>
      <c r="Y177" s="81"/>
    </row>
    <row r="178" spans="1:25" ht="15" customHeight="1" x14ac:dyDescent="0.2">
      <c r="A178" s="228"/>
      <c r="B178" s="228" t="str">
        <f t="shared" si="39"/>
        <v>ימים</v>
      </c>
      <c r="C178" s="45" t="str">
        <f>'מק"ט'!$C$3&amp;VLOOKUP(G178,'מק"ט'!$D$2:$E$9,2,FALSE)&amp;VLOOKUP(E178,'מק"ט'!$F$2:$G$9,2,FALSE)&amp;D178</f>
        <v>76120601</v>
      </c>
      <c r="D178" s="58" t="s">
        <v>167</v>
      </c>
      <c r="E178" s="77" t="s">
        <v>117</v>
      </c>
      <c r="F178" s="88" t="s">
        <v>105</v>
      </c>
      <c r="G178" s="49" t="s">
        <v>21</v>
      </c>
      <c r="H178" s="68"/>
      <c r="I178" s="68"/>
      <c r="J178" s="68"/>
      <c r="K178" s="64"/>
      <c r="L178" s="227">
        <f t="shared" si="35"/>
        <v>175</v>
      </c>
      <c r="O178" s="42"/>
      <c r="P178" s="43"/>
      <c r="Q178" s="43"/>
      <c r="R178" s="43"/>
      <c r="S178" s="44"/>
      <c r="T178" s="186"/>
      <c r="Y178" s="81"/>
    </row>
    <row r="179" spans="1:25" ht="15" customHeight="1" x14ac:dyDescent="0.2">
      <c r="A179" s="228"/>
      <c r="B179" s="228" t="str">
        <f t="shared" si="39"/>
        <v>שבועות</v>
      </c>
      <c r="C179" s="45" t="str">
        <f>'מק"ט'!$C$3&amp;VLOOKUP(G179,'מק"ט'!$D$2:$E$9,2,FALSE)&amp;VLOOKUP(E179,'מק"ט'!$F$2:$G$9,2,FALSE)&amp;D179</f>
        <v>76130601</v>
      </c>
      <c r="D179" s="58" t="s">
        <v>167</v>
      </c>
      <c r="E179" s="77" t="s">
        <v>117</v>
      </c>
      <c r="F179" s="88" t="s">
        <v>105</v>
      </c>
      <c r="G179" s="49" t="s">
        <v>26</v>
      </c>
      <c r="H179" s="68"/>
      <c r="I179" s="68"/>
      <c r="J179" s="68"/>
      <c r="K179" s="64"/>
      <c r="L179" s="227">
        <f t="shared" si="35"/>
        <v>175</v>
      </c>
      <c r="O179" s="42"/>
      <c r="P179" s="43"/>
      <c r="Q179" s="43"/>
      <c r="R179" s="43"/>
      <c r="S179" s="44"/>
      <c r="T179" s="186"/>
      <c r="Y179" s="81"/>
    </row>
    <row r="180" spans="1:25" ht="15" customHeight="1" x14ac:dyDescent="0.2">
      <c r="A180" s="228"/>
      <c r="B180" s="228" t="str">
        <f t="shared" si="39"/>
        <v>חודשים</v>
      </c>
      <c r="C180" s="45" t="str">
        <f>'מק"ט'!$C$3&amp;VLOOKUP(G180,'מק"ט'!$D$2:$E$9,2,FALSE)&amp;VLOOKUP(E180,'מק"ט'!$F$2:$G$9,2,FALSE)&amp;D180</f>
        <v>76140601</v>
      </c>
      <c r="D180" s="58" t="s">
        <v>167</v>
      </c>
      <c r="E180" s="77" t="s">
        <v>117</v>
      </c>
      <c r="F180" s="88" t="s">
        <v>105</v>
      </c>
      <c r="G180" s="49" t="s">
        <v>24</v>
      </c>
      <c r="H180" s="68"/>
      <c r="I180" s="68"/>
      <c r="J180" s="68"/>
      <c r="K180" s="64"/>
      <c r="L180" s="227">
        <f t="shared" si="35"/>
        <v>175</v>
      </c>
      <c r="O180" s="42"/>
      <c r="P180" s="43"/>
      <c r="Q180" s="43"/>
      <c r="R180" s="43"/>
      <c r="S180" s="44"/>
      <c r="T180" s="186"/>
      <c r="Y180" s="81"/>
    </row>
    <row r="181" spans="1:25" ht="15" customHeight="1" x14ac:dyDescent="0.2">
      <c r="A181" s="228"/>
      <c r="B181" s="228" t="str">
        <f t="shared" si="39"/>
        <v>עונתי גלובלי</v>
      </c>
      <c r="C181" s="45" t="str">
        <f>'מק"ט'!$C$3&amp;VLOOKUP(G181,'מק"ט'!$D$2:$E$9,2,FALSE)&amp;VLOOKUP(E181,'מק"ט'!$F$2:$G$9,2,FALSE)&amp;D181</f>
        <v>76150601</v>
      </c>
      <c r="D181" s="58" t="s">
        <v>167</v>
      </c>
      <c r="E181" s="77" t="s">
        <v>117</v>
      </c>
      <c r="F181" s="88" t="s">
        <v>105</v>
      </c>
      <c r="G181" s="49" t="s">
        <v>23</v>
      </c>
      <c r="H181" s="68"/>
      <c r="I181" s="68"/>
      <c r="J181" s="68"/>
      <c r="K181" s="64"/>
      <c r="L181" s="227">
        <f t="shared" si="35"/>
        <v>175</v>
      </c>
      <c r="O181" s="42"/>
      <c r="P181" s="43"/>
      <c r="Q181" s="43"/>
      <c r="R181" s="43"/>
      <c r="S181" s="44"/>
      <c r="T181" s="186"/>
      <c r="Y181" s="81"/>
    </row>
    <row r="182" spans="1:25" ht="15" customHeight="1" x14ac:dyDescent="0.2">
      <c r="A182" s="228"/>
      <c r="B182" s="228" t="str">
        <f>G192</f>
        <v>תכניות/פרקים</v>
      </c>
      <c r="C182" s="45" t="str">
        <f>'מק"ט'!$C$3&amp;VLOOKUP(G192,'מק"ט'!$D$2:$E$9,2,FALSE)&amp;VLOOKUP(E182,'מק"ט'!$F$2:$G$9,2,FALSE)&amp;D182</f>
        <v>76110620</v>
      </c>
      <c r="D182" s="95">
        <v>20</v>
      </c>
      <c r="E182" s="77" t="s">
        <v>117</v>
      </c>
      <c r="F182" s="94" t="s">
        <v>115</v>
      </c>
      <c r="G182" s="49" t="s">
        <v>25</v>
      </c>
      <c r="H182" s="68"/>
      <c r="I182" s="68"/>
      <c r="J182" s="68"/>
      <c r="K182" s="64"/>
      <c r="L182" s="227">
        <f t="shared" si="35"/>
        <v>180</v>
      </c>
      <c r="O182" s="42"/>
      <c r="P182" s="43"/>
      <c r="Q182" s="43"/>
      <c r="R182" s="43"/>
      <c r="S182" s="44"/>
      <c r="T182" s="186"/>
      <c r="Y182" s="81"/>
    </row>
    <row r="183" spans="1:25" ht="15" customHeight="1" x14ac:dyDescent="0.2">
      <c r="A183" s="228"/>
      <c r="B183" s="228" t="str">
        <f>G193</f>
        <v>ימים</v>
      </c>
      <c r="C183" s="45" t="str">
        <f>'מק"ט'!$C$3&amp;VLOOKUP(G193,'מק"ט'!$D$2:$E$9,2,FALSE)&amp;VLOOKUP(E183,'מק"ט'!$F$2:$G$9,2,FALSE)&amp;D183</f>
        <v>76120620</v>
      </c>
      <c r="D183" s="95">
        <v>20</v>
      </c>
      <c r="E183" s="77" t="s">
        <v>117</v>
      </c>
      <c r="F183" s="94" t="s">
        <v>115</v>
      </c>
      <c r="G183" s="49" t="s">
        <v>21</v>
      </c>
      <c r="H183" s="68"/>
      <c r="I183" s="68"/>
      <c r="J183" s="68"/>
      <c r="K183" s="64"/>
      <c r="L183" s="227">
        <f t="shared" si="35"/>
        <v>180</v>
      </c>
      <c r="O183" s="42"/>
      <c r="P183" s="43"/>
      <c r="Q183" s="43"/>
      <c r="R183" s="43"/>
      <c r="S183" s="44"/>
      <c r="T183" s="186"/>
      <c r="Y183" s="81"/>
    </row>
    <row r="184" spans="1:25" ht="15" customHeight="1" x14ac:dyDescent="0.2">
      <c r="A184" s="228"/>
      <c r="B184" s="228" t="str">
        <f>G194</f>
        <v>שבועות</v>
      </c>
      <c r="C184" s="45" t="str">
        <f>'מק"ט'!$C$3&amp;VLOOKUP(G194,'מק"ט'!$D$2:$E$9,2,FALSE)&amp;VLOOKUP(E184,'מק"ט'!$F$2:$G$9,2,FALSE)&amp;D184</f>
        <v>76130620</v>
      </c>
      <c r="D184" s="95">
        <v>20</v>
      </c>
      <c r="E184" s="77" t="s">
        <v>117</v>
      </c>
      <c r="F184" s="94" t="s">
        <v>115</v>
      </c>
      <c r="G184" s="49" t="s">
        <v>26</v>
      </c>
      <c r="H184" s="68"/>
      <c r="I184" s="68"/>
      <c r="J184" s="68"/>
      <c r="K184" s="64"/>
      <c r="L184" s="227">
        <f t="shared" si="35"/>
        <v>180</v>
      </c>
      <c r="O184" s="42"/>
      <c r="P184" s="43"/>
      <c r="Q184" s="43"/>
      <c r="R184" s="43"/>
      <c r="S184" s="44"/>
      <c r="T184" s="186"/>
      <c r="Y184" s="81"/>
    </row>
    <row r="185" spans="1:25" ht="15" customHeight="1" x14ac:dyDescent="0.2">
      <c r="A185" s="228"/>
      <c r="B185" s="228" t="str">
        <f>G195</f>
        <v>חודשים</v>
      </c>
      <c r="C185" s="45" t="str">
        <f>'מק"ט'!$C$3&amp;VLOOKUP(G195,'מק"ט'!$D$2:$E$9,2,FALSE)&amp;VLOOKUP(E185,'מק"ט'!$F$2:$G$9,2,FALSE)&amp;D185</f>
        <v>76140620</v>
      </c>
      <c r="D185" s="95">
        <v>20</v>
      </c>
      <c r="E185" s="77" t="s">
        <v>117</v>
      </c>
      <c r="F185" s="94" t="s">
        <v>115</v>
      </c>
      <c r="G185" s="49" t="s">
        <v>24</v>
      </c>
      <c r="H185" s="68"/>
      <c r="I185" s="68"/>
      <c r="J185" s="68"/>
      <c r="K185" s="64"/>
      <c r="L185" s="227">
        <f t="shared" si="35"/>
        <v>180</v>
      </c>
      <c r="O185" s="42"/>
      <c r="P185" s="43"/>
      <c r="Q185" s="43"/>
      <c r="R185" s="43"/>
      <c r="S185" s="44"/>
      <c r="T185" s="186"/>
      <c r="Y185" s="81"/>
    </row>
    <row r="186" spans="1:25" ht="15" customHeight="1" x14ac:dyDescent="0.2">
      <c r="A186" s="228"/>
      <c r="B186" s="228" t="str">
        <f>G196</f>
        <v>עונתי גלובלי</v>
      </c>
      <c r="C186" s="45" t="str">
        <f>'מק"ט'!$C$3&amp;VLOOKUP(G196,'מק"ט'!$D$2:$E$9,2,FALSE)&amp;VLOOKUP(E186,'מק"ט'!$F$2:$G$9,2,FALSE)&amp;D186</f>
        <v>76150620</v>
      </c>
      <c r="D186" s="95">
        <v>20</v>
      </c>
      <c r="E186" s="77" t="s">
        <v>117</v>
      </c>
      <c r="F186" s="94" t="s">
        <v>115</v>
      </c>
      <c r="G186" s="49" t="s">
        <v>23</v>
      </c>
      <c r="H186" s="68"/>
      <c r="I186" s="68"/>
      <c r="J186" s="68"/>
      <c r="K186" s="64"/>
      <c r="L186" s="227">
        <f t="shared" si="35"/>
        <v>180</v>
      </c>
      <c r="O186" s="42"/>
      <c r="P186" s="43"/>
      <c r="Q186" s="43"/>
      <c r="R186" s="43"/>
      <c r="S186" s="44"/>
      <c r="T186" s="186"/>
      <c r="Y186" s="81"/>
    </row>
    <row r="187" spans="1:25" ht="15" customHeight="1" x14ac:dyDescent="0.2">
      <c r="A187" s="228"/>
      <c r="B187" s="228" t="str">
        <f t="shared" ref="B187:B196" si="40">G187</f>
        <v>תכניות/פרקים</v>
      </c>
      <c r="C187" s="45" t="str">
        <f>'מק"ט'!$C$3&amp;VLOOKUP(G187,'מק"ט'!$D$2:$E$9,2,FALSE)&amp;VLOOKUP(E187,'מק"ט'!$F$2:$G$9,2,FALSE)&amp;D187</f>
        <v>76110621</v>
      </c>
      <c r="D187" s="95">
        <v>21</v>
      </c>
      <c r="E187" s="77" t="s">
        <v>117</v>
      </c>
      <c r="F187" s="94" t="s">
        <v>116</v>
      </c>
      <c r="G187" s="49" t="s">
        <v>25</v>
      </c>
      <c r="H187" s="68"/>
      <c r="I187" s="68"/>
      <c r="J187" s="68"/>
      <c r="K187" s="64"/>
      <c r="L187" s="227">
        <f t="shared" si="35"/>
        <v>185</v>
      </c>
      <c r="O187" s="42"/>
      <c r="P187" s="43"/>
      <c r="Q187" s="43"/>
      <c r="R187" s="43"/>
      <c r="S187" s="44"/>
      <c r="T187" s="186"/>
      <c r="Y187" s="81"/>
    </row>
    <row r="188" spans="1:25" ht="15" customHeight="1" x14ac:dyDescent="0.2">
      <c r="A188" s="228"/>
      <c r="B188" s="228" t="str">
        <f t="shared" si="40"/>
        <v>ימים</v>
      </c>
      <c r="C188" s="45" t="str">
        <f>'מק"ט'!$C$3&amp;VLOOKUP(G188,'מק"ט'!$D$2:$E$9,2,FALSE)&amp;VLOOKUP(E188,'מק"ט'!$F$2:$G$9,2,FALSE)&amp;D188</f>
        <v>76120621</v>
      </c>
      <c r="D188" s="95">
        <v>21</v>
      </c>
      <c r="E188" s="77" t="s">
        <v>117</v>
      </c>
      <c r="F188" s="94" t="s">
        <v>116</v>
      </c>
      <c r="G188" s="49" t="s">
        <v>21</v>
      </c>
      <c r="H188" s="68"/>
      <c r="I188" s="68"/>
      <c r="J188" s="68"/>
      <c r="K188" s="64"/>
      <c r="L188" s="227">
        <f t="shared" si="35"/>
        <v>185</v>
      </c>
      <c r="O188" s="42"/>
      <c r="P188" s="43"/>
      <c r="Q188" s="43"/>
      <c r="R188" s="43"/>
      <c r="S188" s="44"/>
      <c r="T188" s="186"/>
      <c r="Y188" s="81"/>
    </row>
    <row r="189" spans="1:25" ht="15" customHeight="1" x14ac:dyDescent="0.2">
      <c r="A189" s="228"/>
      <c r="B189" s="228" t="str">
        <f t="shared" si="40"/>
        <v>שבועות</v>
      </c>
      <c r="C189" s="45" t="str">
        <f>'מק"ט'!$C$3&amp;VLOOKUP(G189,'מק"ט'!$D$2:$E$9,2,FALSE)&amp;VLOOKUP(E189,'מק"ט'!$F$2:$G$9,2,FALSE)&amp;D189</f>
        <v>76130621</v>
      </c>
      <c r="D189" s="95">
        <v>21</v>
      </c>
      <c r="E189" s="77" t="s">
        <v>117</v>
      </c>
      <c r="F189" s="94" t="s">
        <v>116</v>
      </c>
      <c r="G189" s="49" t="s">
        <v>26</v>
      </c>
      <c r="H189" s="68"/>
      <c r="I189" s="68"/>
      <c r="J189" s="68"/>
      <c r="K189" s="64"/>
      <c r="L189" s="227">
        <f t="shared" si="35"/>
        <v>185</v>
      </c>
      <c r="O189" s="42"/>
      <c r="P189" s="43"/>
      <c r="Q189" s="43"/>
      <c r="R189" s="43"/>
      <c r="S189" s="44"/>
      <c r="T189" s="186"/>
      <c r="Y189" s="81"/>
    </row>
    <row r="190" spans="1:25" ht="15" customHeight="1" x14ac:dyDescent="0.2">
      <c r="A190" s="228"/>
      <c r="B190" s="228" t="str">
        <f t="shared" si="40"/>
        <v>חודשים</v>
      </c>
      <c r="C190" s="45" t="str">
        <f>'מק"ט'!$C$3&amp;VLOOKUP(G190,'מק"ט'!$D$2:$E$9,2,FALSE)&amp;VLOOKUP(E190,'מק"ט'!$F$2:$G$9,2,FALSE)&amp;D190</f>
        <v>76140621</v>
      </c>
      <c r="D190" s="95">
        <v>21</v>
      </c>
      <c r="E190" s="77" t="s">
        <v>117</v>
      </c>
      <c r="F190" s="94" t="s">
        <v>116</v>
      </c>
      <c r="G190" s="49" t="s">
        <v>24</v>
      </c>
      <c r="H190" s="68"/>
      <c r="I190" s="68"/>
      <c r="J190" s="68"/>
      <c r="K190" s="64"/>
      <c r="L190" s="227">
        <f t="shared" si="35"/>
        <v>185</v>
      </c>
      <c r="O190" s="42"/>
      <c r="P190" s="43"/>
      <c r="Q190" s="43"/>
      <c r="R190" s="43"/>
      <c r="S190" s="44"/>
      <c r="T190" s="186"/>
      <c r="Y190" s="81"/>
    </row>
    <row r="191" spans="1:25" ht="15" customHeight="1" x14ac:dyDescent="0.2">
      <c r="A191" s="228"/>
      <c r="B191" s="228" t="str">
        <f t="shared" si="40"/>
        <v>עונתי גלובלי</v>
      </c>
      <c r="C191" s="45" t="str">
        <f>'מק"ט'!$C$3&amp;VLOOKUP(G191,'מק"ט'!$D$2:$E$9,2,FALSE)&amp;VLOOKUP(E191,'מק"ט'!$F$2:$G$9,2,FALSE)&amp;D191</f>
        <v>76150621</v>
      </c>
      <c r="D191" s="95">
        <v>21</v>
      </c>
      <c r="E191" s="77" t="s">
        <v>117</v>
      </c>
      <c r="F191" s="94" t="s">
        <v>116</v>
      </c>
      <c r="G191" s="49" t="s">
        <v>23</v>
      </c>
      <c r="H191" s="68"/>
      <c r="I191" s="68"/>
      <c r="J191" s="68"/>
      <c r="K191" s="64"/>
      <c r="L191" s="227">
        <f t="shared" si="35"/>
        <v>185</v>
      </c>
      <c r="O191" s="42"/>
      <c r="P191" s="43"/>
      <c r="Q191" s="43"/>
      <c r="R191" s="43"/>
      <c r="S191" s="44"/>
      <c r="T191" s="186"/>
      <c r="Y191" s="81"/>
    </row>
    <row r="192" spans="1:25" ht="15" customHeight="1" x14ac:dyDescent="0.2">
      <c r="A192" s="228"/>
      <c r="B192" s="228" t="str">
        <f t="shared" si="40"/>
        <v>תכניות/פרקים</v>
      </c>
      <c r="C192" s="45" t="str">
        <f>'מק"ט'!$C$3&amp;VLOOKUP(G192,'מק"ט'!$D$2:$E$9,2,FALSE)&amp;VLOOKUP(E192,'מק"ט'!$F$2:$G$9,2,FALSE)&amp;D192</f>
        <v>76110632</v>
      </c>
      <c r="D192" s="95">
        <v>32</v>
      </c>
      <c r="E192" s="77" t="s">
        <v>117</v>
      </c>
      <c r="F192" s="94" t="s">
        <v>264</v>
      </c>
      <c r="G192" s="55" t="s">
        <v>25</v>
      </c>
      <c r="H192" s="68"/>
      <c r="I192" s="68"/>
      <c r="J192" s="68"/>
      <c r="K192" s="64"/>
      <c r="L192" s="227">
        <f t="shared" si="35"/>
        <v>190</v>
      </c>
      <c r="O192" s="42"/>
      <c r="P192" s="43"/>
      <c r="Q192" s="43"/>
      <c r="R192" s="43"/>
      <c r="S192" s="44"/>
      <c r="T192" s="186"/>
      <c r="Y192" s="81"/>
    </row>
    <row r="193" spans="1:25" ht="15" customHeight="1" x14ac:dyDescent="0.2">
      <c r="A193" s="228"/>
      <c r="B193" s="228" t="str">
        <f t="shared" si="40"/>
        <v>ימים</v>
      </c>
      <c r="C193" s="45" t="str">
        <f>'מק"ט'!$C$3&amp;VLOOKUP(G193,'מק"ט'!$D$2:$E$9,2,FALSE)&amp;VLOOKUP(E193,'מק"ט'!$F$2:$G$9,2,FALSE)&amp;D193</f>
        <v>76120632</v>
      </c>
      <c r="D193" s="95">
        <v>32</v>
      </c>
      <c r="E193" s="77" t="s">
        <v>117</v>
      </c>
      <c r="F193" s="94" t="s">
        <v>264</v>
      </c>
      <c r="G193" s="55" t="s">
        <v>21</v>
      </c>
      <c r="H193" s="68"/>
      <c r="I193" s="68"/>
      <c r="J193" s="68"/>
      <c r="K193" s="64"/>
      <c r="L193" s="227">
        <f t="shared" si="35"/>
        <v>190</v>
      </c>
      <c r="O193" s="42"/>
      <c r="P193" s="43"/>
      <c r="Q193" s="43"/>
      <c r="R193" s="43"/>
      <c r="S193" s="44"/>
      <c r="T193" s="186"/>
      <c r="Y193" s="81"/>
    </row>
    <row r="194" spans="1:25" ht="15" customHeight="1" x14ac:dyDescent="0.2">
      <c r="A194" s="228"/>
      <c r="B194" s="228" t="str">
        <f t="shared" si="40"/>
        <v>שבועות</v>
      </c>
      <c r="C194" s="45" t="str">
        <f>'מק"ט'!$C$3&amp;VLOOKUP(G194,'מק"ט'!$D$2:$E$9,2,FALSE)&amp;VLOOKUP(E194,'מק"ט'!$F$2:$G$9,2,FALSE)&amp;D194</f>
        <v>76130632</v>
      </c>
      <c r="D194" s="95">
        <v>32</v>
      </c>
      <c r="E194" s="77" t="s">
        <v>117</v>
      </c>
      <c r="F194" s="94" t="s">
        <v>264</v>
      </c>
      <c r="G194" s="55" t="s">
        <v>26</v>
      </c>
      <c r="H194" s="68"/>
      <c r="I194" s="68"/>
      <c r="J194" s="68"/>
      <c r="K194" s="64"/>
      <c r="L194" s="227">
        <f t="shared" si="35"/>
        <v>190</v>
      </c>
      <c r="O194" s="42"/>
      <c r="P194" s="43"/>
      <c r="Q194" s="43"/>
      <c r="R194" s="43"/>
      <c r="S194" s="44"/>
      <c r="T194" s="186"/>
      <c r="Y194" s="81"/>
    </row>
    <row r="195" spans="1:25" ht="15" customHeight="1" x14ac:dyDescent="0.2">
      <c r="A195" s="228"/>
      <c r="B195" s="228" t="str">
        <f t="shared" si="40"/>
        <v>חודשים</v>
      </c>
      <c r="C195" s="45" t="str">
        <f>'מק"ט'!$C$3&amp;VLOOKUP(G195,'מק"ט'!$D$2:$E$9,2,FALSE)&amp;VLOOKUP(E195,'מק"ט'!$F$2:$G$9,2,FALSE)&amp;D195</f>
        <v>76140632</v>
      </c>
      <c r="D195" s="95">
        <v>32</v>
      </c>
      <c r="E195" s="77" t="s">
        <v>117</v>
      </c>
      <c r="F195" s="94" t="s">
        <v>264</v>
      </c>
      <c r="G195" s="55" t="s">
        <v>24</v>
      </c>
      <c r="H195" s="68"/>
      <c r="I195" s="68"/>
      <c r="J195" s="68"/>
      <c r="K195" s="64"/>
      <c r="L195" s="227">
        <f t="shared" si="35"/>
        <v>190</v>
      </c>
      <c r="O195" s="42"/>
      <c r="P195" s="43"/>
      <c r="Q195" s="43"/>
      <c r="R195" s="43"/>
      <c r="S195" s="44"/>
      <c r="T195" s="186"/>
      <c r="Y195" s="81"/>
    </row>
    <row r="196" spans="1:25" ht="15" customHeight="1" x14ac:dyDescent="0.2">
      <c r="A196" s="228"/>
      <c r="B196" s="228" t="str">
        <f t="shared" si="40"/>
        <v>עונתי גלובלי</v>
      </c>
      <c r="C196" s="45" t="str">
        <f>'מק"ט'!$C$3&amp;VLOOKUP(G196,'מק"ט'!$D$2:$E$9,2,FALSE)&amp;VLOOKUP(E196,'מק"ט'!$F$2:$G$9,2,FALSE)&amp;D196</f>
        <v>76150632</v>
      </c>
      <c r="D196" s="95">
        <v>32</v>
      </c>
      <c r="E196" s="77" t="s">
        <v>117</v>
      </c>
      <c r="F196" s="94" t="s">
        <v>264</v>
      </c>
      <c r="G196" s="55" t="s">
        <v>23</v>
      </c>
      <c r="H196" s="68"/>
      <c r="I196" s="68"/>
      <c r="J196" s="68"/>
      <c r="K196" s="64"/>
      <c r="L196" s="227">
        <f t="shared" si="35"/>
        <v>190</v>
      </c>
      <c r="O196" s="42"/>
      <c r="P196" s="43"/>
      <c r="Q196" s="43"/>
      <c r="R196" s="43"/>
      <c r="S196" s="44"/>
      <c r="T196" s="186"/>
      <c r="Y196" s="81"/>
    </row>
    <row r="197" spans="1:25" ht="15" customHeight="1" x14ac:dyDescent="0.2">
      <c r="A197" s="228"/>
      <c r="B197" s="228" t="str">
        <f t="shared" ref="B197:B201" si="41">G197</f>
        <v>תכניות/פרקים</v>
      </c>
      <c r="C197" s="45" t="str">
        <f>'מק"ט'!$C$3&amp;VLOOKUP(G197,'מק"ט'!$D$2:$E$9,2,FALSE)&amp;VLOOKUP(E197,'מק"ט'!$F$2:$G$9,2,FALSE)&amp;D197</f>
        <v>76110200</v>
      </c>
      <c r="D197" s="58" t="s">
        <v>174</v>
      </c>
      <c r="E197" s="77" t="s">
        <v>200</v>
      </c>
      <c r="F197" s="94" t="s">
        <v>266</v>
      </c>
      <c r="G197" s="55" t="s">
        <v>25</v>
      </c>
      <c r="H197" s="68"/>
      <c r="I197" s="68"/>
      <c r="J197" s="68"/>
      <c r="K197" s="64"/>
      <c r="L197" s="227">
        <f t="shared" si="35"/>
        <v>195</v>
      </c>
      <c r="O197" s="42"/>
      <c r="P197" s="43"/>
      <c r="Q197" s="43"/>
      <c r="R197" s="43"/>
      <c r="S197" s="44"/>
      <c r="T197" s="186"/>
      <c r="Y197" s="81"/>
    </row>
    <row r="198" spans="1:25" ht="15" customHeight="1" x14ac:dyDescent="0.2">
      <c r="A198" s="228"/>
      <c r="B198" s="228" t="str">
        <f t="shared" si="41"/>
        <v>ימים</v>
      </c>
      <c r="C198" s="45" t="str">
        <f>'מק"ט'!$C$3&amp;VLOOKUP(G198,'מק"ט'!$D$2:$E$9,2,FALSE)&amp;VLOOKUP(E198,'מק"ט'!$F$2:$G$9,2,FALSE)&amp;D198</f>
        <v>76120200</v>
      </c>
      <c r="D198" s="58" t="s">
        <v>174</v>
      </c>
      <c r="E198" s="77" t="s">
        <v>200</v>
      </c>
      <c r="F198" s="94" t="s">
        <v>266</v>
      </c>
      <c r="G198" s="55" t="s">
        <v>21</v>
      </c>
      <c r="H198" s="68"/>
      <c r="I198" s="68"/>
      <c r="J198" s="68"/>
      <c r="K198" s="64"/>
      <c r="L198" s="227">
        <f t="shared" si="35"/>
        <v>195</v>
      </c>
      <c r="O198" s="42"/>
      <c r="P198" s="43"/>
      <c r="Q198" s="43"/>
      <c r="R198" s="43"/>
      <c r="S198" s="44"/>
      <c r="T198" s="186"/>
      <c r="Y198" s="81"/>
    </row>
    <row r="199" spans="1:25" ht="15" customHeight="1" x14ac:dyDescent="0.2">
      <c r="A199" s="228"/>
      <c r="B199" s="228" t="str">
        <f t="shared" si="41"/>
        <v>שבועות</v>
      </c>
      <c r="C199" s="45" t="str">
        <f>'מק"ט'!$C$3&amp;VLOOKUP(G199,'מק"ט'!$D$2:$E$9,2,FALSE)&amp;VLOOKUP(E199,'מק"ט'!$F$2:$G$9,2,FALSE)&amp;D199</f>
        <v>76130200</v>
      </c>
      <c r="D199" s="58" t="s">
        <v>174</v>
      </c>
      <c r="E199" s="77" t="s">
        <v>200</v>
      </c>
      <c r="F199" s="94" t="s">
        <v>266</v>
      </c>
      <c r="G199" s="55" t="s">
        <v>26</v>
      </c>
      <c r="H199" s="68"/>
      <c r="I199" s="68"/>
      <c r="J199" s="68"/>
      <c r="K199" s="64"/>
      <c r="L199" s="227">
        <f t="shared" si="35"/>
        <v>195</v>
      </c>
      <c r="O199" s="42"/>
      <c r="P199" s="43"/>
      <c r="Q199" s="43"/>
      <c r="R199" s="43"/>
      <c r="S199" s="44"/>
      <c r="T199" s="186"/>
      <c r="Y199" s="81"/>
    </row>
    <row r="200" spans="1:25" ht="15" customHeight="1" x14ac:dyDescent="0.2">
      <c r="A200" s="228"/>
      <c r="B200" s="228" t="str">
        <f t="shared" si="41"/>
        <v>חודשים</v>
      </c>
      <c r="C200" s="45" t="str">
        <f>'מק"ט'!$C$3&amp;VLOOKUP(G200,'מק"ט'!$D$2:$E$9,2,FALSE)&amp;VLOOKUP(E200,'מק"ט'!$F$2:$G$9,2,FALSE)&amp;D200</f>
        <v>76140200</v>
      </c>
      <c r="D200" s="58" t="s">
        <v>174</v>
      </c>
      <c r="E200" s="77" t="s">
        <v>200</v>
      </c>
      <c r="F200" s="94" t="s">
        <v>266</v>
      </c>
      <c r="G200" s="55" t="s">
        <v>24</v>
      </c>
      <c r="H200" s="68"/>
      <c r="I200" s="68"/>
      <c r="J200" s="68"/>
      <c r="K200" s="64"/>
      <c r="L200" s="227">
        <f t="shared" si="35"/>
        <v>195</v>
      </c>
      <c r="O200" s="42"/>
      <c r="P200" s="43"/>
      <c r="Q200" s="43"/>
      <c r="R200" s="43"/>
      <c r="S200" s="44"/>
      <c r="T200" s="186"/>
      <c r="Y200" s="81"/>
    </row>
    <row r="201" spans="1:25" ht="15" customHeight="1" x14ac:dyDescent="0.2">
      <c r="A201" s="228"/>
      <c r="B201" s="228" t="str">
        <f t="shared" si="41"/>
        <v>עונתי גלובלי</v>
      </c>
      <c r="C201" s="45" t="str">
        <f>'מק"ט'!$C$3&amp;VLOOKUP(G201,'מק"ט'!$D$2:$E$9,2,FALSE)&amp;VLOOKUP(E201,'מק"ט'!$F$2:$G$9,2,FALSE)&amp;D201</f>
        <v>76150200</v>
      </c>
      <c r="D201" s="58" t="s">
        <v>174</v>
      </c>
      <c r="E201" s="77" t="s">
        <v>200</v>
      </c>
      <c r="F201" s="94" t="s">
        <v>266</v>
      </c>
      <c r="G201" s="55" t="s">
        <v>23</v>
      </c>
      <c r="H201" s="68"/>
      <c r="I201" s="68"/>
      <c r="J201" s="68"/>
      <c r="K201" s="64"/>
      <c r="L201" s="227">
        <f t="shared" si="35"/>
        <v>195</v>
      </c>
      <c r="O201" s="42"/>
      <c r="P201" s="43"/>
      <c r="Q201" s="43"/>
      <c r="R201" s="43"/>
      <c r="S201" s="44"/>
      <c r="T201" s="186"/>
      <c r="Y201" s="81"/>
    </row>
    <row r="202" spans="1:25" ht="15" customHeight="1" x14ac:dyDescent="0.2">
      <c r="A202" s="228"/>
      <c r="B202" s="228" t="str">
        <f t="shared" ref="B202:B206" si="42">G202</f>
        <v>תכניות/פרקים</v>
      </c>
      <c r="C202" s="45" t="str">
        <f>'מק"ט'!$C$3&amp;VLOOKUP(G202,'מק"ט'!$D$2:$E$9,2,FALSE)&amp;VLOOKUP(E202,'מק"ט'!$F$2:$G$9,2,FALSE)&amp;D202</f>
        <v>76110201</v>
      </c>
      <c r="D202" s="58" t="s">
        <v>167</v>
      </c>
      <c r="E202" s="77" t="s">
        <v>200</v>
      </c>
      <c r="F202" s="94" t="s">
        <v>267</v>
      </c>
      <c r="G202" s="55" t="s">
        <v>25</v>
      </c>
      <c r="H202" s="68"/>
      <c r="I202" s="68"/>
      <c r="J202" s="68"/>
      <c r="K202" s="64"/>
      <c r="L202" s="227">
        <f t="shared" si="35"/>
        <v>200</v>
      </c>
      <c r="O202" s="42"/>
      <c r="P202" s="43"/>
      <c r="Q202" s="43"/>
      <c r="R202" s="43"/>
      <c r="S202" s="44"/>
      <c r="T202" s="186"/>
      <c r="Y202" s="81"/>
    </row>
    <row r="203" spans="1:25" ht="15" customHeight="1" x14ac:dyDescent="0.2">
      <c r="A203" s="228"/>
      <c r="B203" s="228" t="str">
        <f t="shared" si="42"/>
        <v>ימים</v>
      </c>
      <c r="C203" s="45" t="str">
        <f>'מק"ט'!$C$3&amp;VLOOKUP(G203,'מק"ט'!$D$2:$E$9,2,FALSE)&amp;VLOOKUP(E203,'מק"ט'!$F$2:$G$9,2,FALSE)&amp;D203</f>
        <v>76120202</v>
      </c>
      <c r="D203" s="58" t="s">
        <v>163</v>
      </c>
      <c r="E203" s="77" t="s">
        <v>200</v>
      </c>
      <c r="F203" s="94" t="s">
        <v>267</v>
      </c>
      <c r="G203" s="55" t="s">
        <v>21</v>
      </c>
      <c r="H203" s="68"/>
      <c r="I203" s="68"/>
      <c r="J203" s="68"/>
      <c r="K203" s="64"/>
      <c r="L203" s="227">
        <f t="shared" si="35"/>
        <v>200</v>
      </c>
      <c r="O203" s="42"/>
      <c r="P203" s="43"/>
      <c r="Q203" s="43"/>
      <c r="R203" s="43"/>
      <c r="S203" s="44"/>
      <c r="T203" s="186"/>
      <c r="Y203" s="81"/>
    </row>
    <row r="204" spans="1:25" ht="15" customHeight="1" x14ac:dyDescent="0.2">
      <c r="A204" s="228"/>
      <c r="B204" s="228" t="str">
        <f t="shared" si="42"/>
        <v>שבועות</v>
      </c>
      <c r="C204" s="45" t="str">
        <f>'מק"ט'!$C$3&amp;VLOOKUP(G204,'מק"ט'!$D$2:$E$9,2,FALSE)&amp;VLOOKUP(E204,'מק"ט'!$F$2:$G$9,2,FALSE)&amp;D204</f>
        <v>76130203</v>
      </c>
      <c r="D204" s="58" t="s">
        <v>164</v>
      </c>
      <c r="E204" s="77" t="s">
        <v>200</v>
      </c>
      <c r="F204" s="94" t="s">
        <v>267</v>
      </c>
      <c r="G204" s="55" t="s">
        <v>26</v>
      </c>
      <c r="H204" s="68"/>
      <c r="I204" s="68"/>
      <c r="J204" s="68"/>
      <c r="K204" s="64"/>
      <c r="L204" s="227">
        <f t="shared" si="35"/>
        <v>200</v>
      </c>
      <c r="O204" s="42"/>
      <c r="P204" s="43"/>
      <c r="Q204" s="43"/>
      <c r="R204" s="43"/>
      <c r="S204" s="44"/>
      <c r="T204" s="186"/>
      <c r="Y204" s="81"/>
    </row>
    <row r="205" spans="1:25" ht="15" customHeight="1" x14ac:dyDescent="0.2">
      <c r="A205" s="228"/>
      <c r="B205" s="228" t="str">
        <f t="shared" si="42"/>
        <v>חודשים</v>
      </c>
      <c r="C205" s="45" t="str">
        <f>'מק"ט'!$C$3&amp;VLOOKUP(G205,'מק"ט'!$D$2:$E$9,2,FALSE)&amp;VLOOKUP(E205,'מק"ט'!$F$2:$G$9,2,FALSE)&amp;D205</f>
        <v>76140204</v>
      </c>
      <c r="D205" s="58" t="s">
        <v>165</v>
      </c>
      <c r="E205" s="77" t="s">
        <v>200</v>
      </c>
      <c r="F205" s="94" t="s">
        <v>267</v>
      </c>
      <c r="G205" s="55" t="s">
        <v>24</v>
      </c>
      <c r="H205" s="68"/>
      <c r="I205" s="68"/>
      <c r="J205" s="68"/>
      <c r="K205" s="64"/>
      <c r="L205" s="227">
        <f t="shared" si="35"/>
        <v>200</v>
      </c>
      <c r="O205" s="42"/>
      <c r="P205" s="43"/>
      <c r="Q205" s="43"/>
      <c r="R205" s="43"/>
      <c r="S205" s="44"/>
      <c r="T205" s="186"/>
      <c r="Y205" s="81"/>
    </row>
    <row r="206" spans="1:25" ht="15" customHeight="1" x14ac:dyDescent="0.2">
      <c r="A206" s="228"/>
      <c r="B206" s="228" t="str">
        <f t="shared" si="42"/>
        <v>עונתי גלובלי</v>
      </c>
      <c r="C206" s="45" t="str">
        <f>'מק"ט'!$C$3&amp;VLOOKUP(G206,'מק"ט'!$D$2:$E$9,2,FALSE)&amp;VLOOKUP(E206,'מק"ט'!$F$2:$G$9,2,FALSE)&amp;D206</f>
        <v>76150205</v>
      </c>
      <c r="D206" s="58" t="s">
        <v>169</v>
      </c>
      <c r="E206" s="77" t="s">
        <v>200</v>
      </c>
      <c r="F206" s="94" t="s">
        <v>267</v>
      </c>
      <c r="G206" s="55" t="s">
        <v>23</v>
      </c>
      <c r="H206" s="68"/>
      <c r="I206" s="68"/>
      <c r="J206" s="68"/>
      <c r="K206" s="64"/>
      <c r="L206" s="227">
        <f t="shared" si="35"/>
        <v>200</v>
      </c>
      <c r="O206" s="42"/>
      <c r="P206" s="43"/>
      <c r="Q206" s="43"/>
      <c r="R206" s="43"/>
      <c r="S206" s="44"/>
      <c r="T206" s="186"/>
      <c r="Y206" s="81"/>
    </row>
    <row r="207" spans="1:25" ht="15" customHeight="1" x14ac:dyDescent="0.2">
      <c r="B207" s="32" t="str">
        <f t="shared" si="0"/>
        <v>תכניות/פרקים</v>
      </c>
      <c r="C207" s="45" t="str">
        <f>'מק"ט'!$C$3&amp;VLOOKUP(G207,'מק"ט'!$D$2:$E$9,2,FALSE)&amp;VLOOKUP(E207,'מק"ט'!$F$2:$G$9,2,FALSE)&amp;D207</f>
        <v>76110206</v>
      </c>
      <c r="D207" s="46" t="s">
        <v>170</v>
      </c>
      <c r="E207" s="73" t="s">
        <v>200</v>
      </c>
      <c r="F207" s="92" t="s">
        <v>246</v>
      </c>
      <c r="G207" s="55" t="s">
        <v>25</v>
      </c>
      <c r="H207" s="75"/>
      <c r="I207" s="75"/>
      <c r="J207" s="75"/>
      <c r="K207" s="67"/>
      <c r="L207" s="227">
        <f t="shared" si="35"/>
        <v>205</v>
      </c>
      <c r="O207" s="42">
        <f>תקציב!J73</f>
        <v>0</v>
      </c>
      <c r="P207" s="43">
        <f>תקציב!I73</f>
        <v>0</v>
      </c>
      <c r="Q207" s="43">
        <f>תקציב!G73</f>
        <v>0</v>
      </c>
      <c r="R207" s="43">
        <f>IFERROR((P207*Q207),0)</f>
        <v>0</v>
      </c>
      <c r="S207" s="44">
        <f>O207*R207</f>
        <v>0</v>
      </c>
      <c r="T207" s="186">
        <f>תקציב!K73-S207</f>
        <v>0</v>
      </c>
      <c r="Y207" s="81"/>
    </row>
    <row r="208" spans="1:25" ht="15" customHeight="1" x14ac:dyDescent="0.2">
      <c r="B208" s="32" t="str">
        <f t="shared" si="0"/>
        <v>ימים</v>
      </c>
      <c r="C208" s="45" t="str">
        <f>'מק"ט'!$C$3&amp;VLOOKUP(G208,'מק"ט'!$D$2:$E$9,2,FALSE)&amp;VLOOKUP(E208,'מק"ט'!$F$2:$G$9,2,FALSE)&amp;D208</f>
        <v>76120206</v>
      </c>
      <c r="D208" s="46" t="s">
        <v>170</v>
      </c>
      <c r="E208" s="73" t="s">
        <v>200</v>
      </c>
      <c r="F208" s="92" t="s">
        <v>246</v>
      </c>
      <c r="G208" s="55" t="s">
        <v>21</v>
      </c>
      <c r="H208" s="75"/>
      <c r="I208" s="75"/>
      <c r="J208" s="75"/>
      <c r="K208" s="67"/>
      <c r="L208" s="227">
        <f t="shared" si="35"/>
        <v>205</v>
      </c>
      <c r="O208" s="42"/>
      <c r="P208" s="43"/>
      <c r="Q208" s="43"/>
      <c r="R208" s="43"/>
      <c r="S208" s="44"/>
      <c r="T208" s="186"/>
      <c r="Y208" s="81"/>
    </row>
    <row r="209" spans="2:25" ht="15" customHeight="1" x14ac:dyDescent="0.2">
      <c r="B209" s="32" t="str">
        <f t="shared" si="0"/>
        <v>שבועות</v>
      </c>
      <c r="C209" s="45" t="str">
        <f>'מק"ט'!$C$3&amp;VLOOKUP(G209,'מק"ט'!$D$2:$E$9,2,FALSE)&amp;VLOOKUP(E209,'מק"ט'!$F$2:$G$9,2,FALSE)&amp;D209</f>
        <v>76130206</v>
      </c>
      <c r="D209" s="46" t="s">
        <v>170</v>
      </c>
      <c r="E209" s="73" t="s">
        <v>200</v>
      </c>
      <c r="F209" s="92" t="s">
        <v>246</v>
      </c>
      <c r="G209" s="55" t="s">
        <v>26</v>
      </c>
      <c r="H209" s="75"/>
      <c r="I209" s="75"/>
      <c r="J209" s="75"/>
      <c r="K209" s="67"/>
      <c r="L209" s="227">
        <f t="shared" si="35"/>
        <v>205</v>
      </c>
      <c r="O209" s="42"/>
      <c r="P209" s="43"/>
      <c r="Q209" s="43"/>
      <c r="R209" s="43"/>
      <c r="S209" s="44"/>
      <c r="T209" s="186"/>
      <c r="Y209" s="81"/>
    </row>
    <row r="210" spans="2:25" ht="15" customHeight="1" x14ac:dyDescent="0.2">
      <c r="B210" s="32" t="str">
        <f t="shared" si="0"/>
        <v>חודשים</v>
      </c>
      <c r="C210" s="45" t="str">
        <f>'מק"ט'!$C$3&amp;VLOOKUP(G210,'מק"ט'!$D$2:$E$9,2,FALSE)&amp;VLOOKUP(E210,'מק"ט'!$F$2:$G$9,2,FALSE)&amp;D210</f>
        <v>76140206</v>
      </c>
      <c r="D210" s="46" t="s">
        <v>170</v>
      </c>
      <c r="E210" s="73" t="s">
        <v>200</v>
      </c>
      <c r="F210" s="92" t="s">
        <v>246</v>
      </c>
      <c r="G210" s="55" t="s">
        <v>24</v>
      </c>
      <c r="H210" s="75"/>
      <c r="I210" s="75"/>
      <c r="J210" s="75"/>
      <c r="K210" s="67"/>
      <c r="L210" s="227">
        <f t="shared" si="35"/>
        <v>205</v>
      </c>
      <c r="O210" s="42"/>
      <c r="P210" s="43"/>
      <c r="Q210" s="43"/>
      <c r="R210" s="43"/>
      <c r="S210" s="44"/>
      <c r="T210" s="186"/>
      <c r="Y210" s="81"/>
    </row>
    <row r="211" spans="2:25" ht="15" customHeight="1" x14ac:dyDescent="0.2">
      <c r="B211" s="32" t="str">
        <f t="shared" si="0"/>
        <v>עונתי גלובלי</v>
      </c>
      <c r="C211" s="45" t="str">
        <f>'מק"ט'!$C$3&amp;VLOOKUP(G211,'מק"ט'!$D$2:$E$9,2,FALSE)&amp;VLOOKUP(E211,'מק"ט'!$F$2:$G$9,2,FALSE)&amp;D211</f>
        <v>76150206</v>
      </c>
      <c r="D211" s="46" t="s">
        <v>170</v>
      </c>
      <c r="E211" s="73" t="s">
        <v>200</v>
      </c>
      <c r="F211" s="92" t="s">
        <v>246</v>
      </c>
      <c r="G211" s="55" t="s">
        <v>23</v>
      </c>
      <c r="H211" s="75"/>
      <c r="I211" s="75"/>
      <c r="J211" s="75"/>
      <c r="K211" s="67"/>
      <c r="L211" s="227">
        <f t="shared" si="35"/>
        <v>205</v>
      </c>
      <c r="O211" s="42"/>
      <c r="P211" s="43"/>
      <c r="Q211" s="43"/>
      <c r="R211" s="43"/>
      <c r="S211" s="44"/>
      <c r="T211" s="186"/>
      <c r="Y211" s="81"/>
    </row>
    <row r="212" spans="2:25" ht="15" customHeight="1" x14ac:dyDescent="0.2">
      <c r="B212" s="32" t="str">
        <f t="shared" si="0"/>
        <v>תכניות/פרקים</v>
      </c>
      <c r="C212" s="45" t="str">
        <f>'מק"ט'!$C$3&amp;VLOOKUP(G212,'מק"ט'!$D$2:$E$9,2,FALSE)&amp;VLOOKUP(E212,'מק"ט'!$F$2:$G$9,2,FALSE)&amp;D212</f>
        <v>76110206</v>
      </c>
      <c r="D212" s="46" t="s">
        <v>170</v>
      </c>
      <c r="E212" s="73" t="s">
        <v>200</v>
      </c>
      <c r="F212" s="92" t="s">
        <v>247</v>
      </c>
      <c r="G212" s="55" t="s">
        <v>25</v>
      </c>
      <c r="H212" s="75"/>
      <c r="I212" s="75"/>
      <c r="J212" s="75"/>
      <c r="K212" s="67"/>
      <c r="L212" s="227">
        <f t="shared" si="35"/>
        <v>210</v>
      </c>
      <c r="O212" s="42">
        <f>תקציב!J74</f>
        <v>0</v>
      </c>
      <c r="P212" s="43">
        <f>תקציב!I74</f>
        <v>0</v>
      </c>
      <c r="Q212" s="43">
        <f>תקציב!G74</f>
        <v>0</v>
      </c>
      <c r="R212" s="43">
        <f t="shared" si="1"/>
        <v>0</v>
      </c>
      <c r="S212" s="44">
        <f t="shared" si="2"/>
        <v>0</v>
      </c>
      <c r="T212" s="186">
        <f>תקציב!K74-S212</f>
        <v>0</v>
      </c>
      <c r="Y212" s="81"/>
    </row>
    <row r="213" spans="2:25" ht="15" customHeight="1" x14ac:dyDescent="0.2">
      <c r="B213" s="32" t="str">
        <f t="shared" si="0"/>
        <v>ימים</v>
      </c>
      <c r="C213" s="45" t="str">
        <f>'מק"ט'!$C$3&amp;VLOOKUP(G213,'מק"ט'!$D$2:$E$9,2,FALSE)&amp;VLOOKUP(E213,'מק"ט'!$F$2:$G$9,2,FALSE)&amp;D213</f>
        <v>76120206</v>
      </c>
      <c r="D213" s="46" t="s">
        <v>170</v>
      </c>
      <c r="E213" s="73" t="s">
        <v>200</v>
      </c>
      <c r="F213" s="92" t="s">
        <v>247</v>
      </c>
      <c r="G213" s="55" t="s">
        <v>21</v>
      </c>
      <c r="H213" s="75"/>
      <c r="I213" s="75"/>
      <c r="J213" s="75"/>
      <c r="K213" s="67"/>
      <c r="L213" s="227">
        <f t="shared" si="35"/>
        <v>210</v>
      </c>
      <c r="O213" s="42"/>
      <c r="P213" s="43"/>
      <c r="Q213" s="43"/>
      <c r="R213" s="43"/>
      <c r="S213" s="44"/>
      <c r="T213" s="186"/>
      <c r="Y213" s="81"/>
    </row>
    <row r="214" spans="2:25" ht="15" customHeight="1" x14ac:dyDescent="0.2">
      <c r="B214" s="32" t="str">
        <f t="shared" si="0"/>
        <v>שבועות</v>
      </c>
      <c r="C214" s="45" t="str">
        <f>'מק"ט'!$C$3&amp;VLOOKUP(G214,'מק"ט'!$D$2:$E$9,2,FALSE)&amp;VLOOKUP(E214,'מק"ט'!$F$2:$G$9,2,FALSE)&amp;D214</f>
        <v>76130206</v>
      </c>
      <c r="D214" s="46" t="s">
        <v>170</v>
      </c>
      <c r="E214" s="73" t="s">
        <v>200</v>
      </c>
      <c r="F214" s="92" t="s">
        <v>247</v>
      </c>
      <c r="G214" s="55" t="s">
        <v>26</v>
      </c>
      <c r="H214" s="75"/>
      <c r="I214" s="75"/>
      <c r="J214" s="75"/>
      <c r="K214" s="67"/>
      <c r="L214" s="227">
        <f t="shared" si="35"/>
        <v>210</v>
      </c>
      <c r="O214" s="42"/>
      <c r="P214" s="43"/>
      <c r="Q214" s="43"/>
      <c r="R214" s="43"/>
      <c r="S214" s="44"/>
      <c r="T214" s="186"/>
      <c r="Y214" s="81"/>
    </row>
    <row r="215" spans="2:25" ht="15" customHeight="1" x14ac:dyDescent="0.2">
      <c r="B215" s="32" t="str">
        <f t="shared" si="0"/>
        <v>חודשים</v>
      </c>
      <c r="C215" s="45" t="str">
        <f>'מק"ט'!$C$3&amp;VLOOKUP(G215,'מק"ט'!$D$2:$E$9,2,FALSE)&amp;VLOOKUP(E215,'מק"ט'!$F$2:$G$9,2,FALSE)&amp;D215</f>
        <v>76140206</v>
      </c>
      <c r="D215" s="46" t="s">
        <v>170</v>
      </c>
      <c r="E215" s="73" t="s">
        <v>200</v>
      </c>
      <c r="F215" s="92" t="s">
        <v>247</v>
      </c>
      <c r="G215" s="55" t="s">
        <v>24</v>
      </c>
      <c r="H215" s="75"/>
      <c r="I215" s="75"/>
      <c r="J215" s="75"/>
      <c r="K215" s="67"/>
      <c r="L215" s="227">
        <f t="shared" si="35"/>
        <v>210</v>
      </c>
      <c r="O215" s="42"/>
      <c r="P215" s="43"/>
      <c r="Q215" s="43"/>
      <c r="R215" s="43"/>
      <c r="S215" s="44"/>
      <c r="T215" s="186"/>
      <c r="Y215" s="81"/>
    </row>
    <row r="216" spans="2:25" ht="15" customHeight="1" x14ac:dyDescent="0.2">
      <c r="B216" s="32" t="str">
        <f t="shared" si="0"/>
        <v>עונתי גלובלי</v>
      </c>
      <c r="C216" s="45" t="str">
        <f>'מק"ט'!$C$3&amp;VLOOKUP(G216,'מק"ט'!$D$2:$E$9,2,FALSE)&amp;VLOOKUP(E216,'מק"ט'!$F$2:$G$9,2,FALSE)&amp;D216</f>
        <v>76150206</v>
      </c>
      <c r="D216" s="46" t="s">
        <v>170</v>
      </c>
      <c r="E216" s="73" t="s">
        <v>200</v>
      </c>
      <c r="F216" s="92" t="s">
        <v>247</v>
      </c>
      <c r="G216" s="55" t="s">
        <v>23</v>
      </c>
      <c r="H216" s="75"/>
      <c r="I216" s="75"/>
      <c r="J216" s="75"/>
      <c r="K216" s="67"/>
      <c r="L216" s="227">
        <f t="shared" si="35"/>
        <v>210</v>
      </c>
      <c r="O216" s="42"/>
      <c r="P216" s="43"/>
      <c r="Q216" s="43"/>
      <c r="R216" s="43"/>
      <c r="S216" s="44"/>
      <c r="T216" s="186"/>
      <c r="Y216" s="81"/>
    </row>
    <row r="217" spans="2:25" ht="15" customHeight="1" x14ac:dyDescent="0.2">
      <c r="B217" s="32" t="str">
        <f t="shared" si="0"/>
        <v>תכניות/פרקים</v>
      </c>
      <c r="C217" s="45" t="str">
        <f>'מק"ט'!$C$3&amp;VLOOKUP(G217,'מק"ט'!$D$2:$E$9,2,FALSE)&amp;VLOOKUP(E217,'מק"ט'!$F$2:$G$9,2,FALSE)&amp;D217</f>
        <v>76110206</v>
      </c>
      <c r="D217" s="46" t="s">
        <v>170</v>
      </c>
      <c r="E217" s="73" t="s">
        <v>200</v>
      </c>
      <c r="F217" s="92" t="s">
        <v>248</v>
      </c>
      <c r="G217" s="55" t="s">
        <v>25</v>
      </c>
      <c r="H217" s="75"/>
      <c r="I217" s="75"/>
      <c r="J217" s="75"/>
      <c r="K217" s="67"/>
      <c r="L217" s="227">
        <f t="shared" si="35"/>
        <v>215</v>
      </c>
      <c r="O217" s="42">
        <f>תקציב!J75</f>
        <v>0</v>
      </c>
      <c r="P217" s="43">
        <f>תקציב!I75</f>
        <v>0</v>
      </c>
      <c r="Q217" s="43">
        <f>תקציב!G75</f>
        <v>0</v>
      </c>
      <c r="R217" s="43">
        <f t="shared" ref="R217:R263" si="43">IFERROR((P217*Q217),0)</f>
        <v>0</v>
      </c>
      <c r="S217" s="44">
        <f t="shared" ref="S217:S263" si="44">O217*R217</f>
        <v>0</v>
      </c>
      <c r="T217" s="186">
        <f>תקציב!K75-S217</f>
        <v>0</v>
      </c>
      <c r="Y217" s="81"/>
    </row>
    <row r="218" spans="2:25" ht="15" customHeight="1" x14ac:dyDescent="0.2">
      <c r="B218" s="32" t="str">
        <f t="shared" si="0"/>
        <v>ימים</v>
      </c>
      <c r="C218" s="45" t="str">
        <f>'מק"ט'!$C$3&amp;VLOOKUP(G218,'מק"ט'!$D$2:$E$9,2,FALSE)&amp;VLOOKUP(E218,'מק"ט'!$F$2:$G$9,2,FALSE)&amp;D218</f>
        <v>76120206</v>
      </c>
      <c r="D218" s="46" t="s">
        <v>170</v>
      </c>
      <c r="E218" s="73" t="s">
        <v>200</v>
      </c>
      <c r="F218" s="92" t="s">
        <v>248</v>
      </c>
      <c r="G218" s="55" t="s">
        <v>21</v>
      </c>
      <c r="H218" s="75"/>
      <c r="I218" s="75"/>
      <c r="J218" s="75"/>
      <c r="K218" s="67"/>
      <c r="L218" s="227">
        <f t="shared" si="35"/>
        <v>215</v>
      </c>
      <c r="O218" s="42"/>
      <c r="P218" s="43"/>
      <c r="Q218" s="43"/>
      <c r="R218" s="43"/>
      <c r="S218" s="44"/>
      <c r="T218" s="186"/>
      <c r="Y218" s="81"/>
    </row>
    <row r="219" spans="2:25" ht="15" customHeight="1" x14ac:dyDescent="0.2">
      <c r="B219" s="32" t="str">
        <f t="shared" si="0"/>
        <v>שבועות</v>
      </c>
      <c r="C219" s="45" t="str">
        <f>'מק"ט'!$C$3&amp;VLOOKUP(G219,'מק"ט'!$D$2:$E$9,2,FALSE)&amp;VLOOKUP(E219,'מק"ט'!$F$2:$G$9,2,FALSE)&amp;D219</f>
        <v>76130206</v>
      </c>
      <c r="D219" s="46" t="s">
        <v>170</v>
      </c>
      <c r="E219" s="73" t="s">
        <v>200</v>
      </c>
      <c r="F219" s="92" t="s">
        <v>248</v>
      </c>
      <c r="G219" s="55" t="s">
        <v>26</v>
      </c>
      <c r="H219" s="75"/>
      <c r="I219" s="75"/>
      <c r="J219" s="75"/>
      <c r="K219" s="67"/>
      <c r="L219" s="227">
        <f t="shared" si="35"/>
        <v>215</v>
      </c>
      <c r="O219" s="42"/>
      <c r="P219" s="43"/>
      <c r="Q219" s="43"/>
      <c r="R219" s="43"/>
      <c r="S219" s="44"/>
      <c r="T219" s="186"/>
      <c r="Y219" s="81"/>
    </row>
    <row r="220" spans="2:25" ht="15" customHeight="1" x14ac:dyDescent="0.2">
      <c r="B220" s="32" t="str">
        <f t="shared" si="0"/>
        <v>חודשים</v>
      </c>
      <c r="C220" s="45" t="str">
        <f>'מק"ט'!$C$3&amp;VLOOKUP(G220,'מק"ט'!$D$2:$E$9,2,FALSE)&amp;VLOOKUP(E220,'מק"ט'!$F$2:$G$9,2,FALSE)&amp;D220</f>
        <v>76140206</v>
      </c>
      <c r="D220" s="46" t="s">
        <v>170</v>
      </c>
      <c r="E220" s="73" t="s">
        <v>200</v>
      </c>
      <c r="F220" s="92" t="s">
        <v>248</v>
      </c>
      <c r="G220" s="55" t="s">
        <v>24</v>
      </c>
      <c r="H220" s="75"/>
      <c r="I220" s="75"/>
      <c r="J220" s="75"/>
      <c r="K220" s="67"/>
      <c r="L220" s="227">
        <f t="shared" si="35"/>
        <v>215</v>
      </c>
      <c r="O220" s="42"/>
      <c r="P220" s="43"/>
      <c r="Q220" s="43"/>
      <c r="R220" s="43"/>
      <c r="S220" s="44"/>
      <c r="T220" s="186"/>
      <c r="Y220" s="81"/>
    </row>
    <row r="221" spans="2:25" ht="15" customHeight="1" x14ac:dyDescent="0.2">
      <c r="B221" s="32" t="str">
        <f t="shared" si="0"/>
        <v>עונתי גלובלי</v>
      </c>
      <c r="C221" s="45" t="str">
        <f>'מק"ט'!$C$3&amp;VLOOKUP(G221,'מק"ט'!$D$2:$E$9,2,FALSE)&amp;VLOOKUP(E221,'מק"ט'!$F$2:$G$9,2,FALSE)&amp;D221</f>
        <v>76150206</v>
      </c>
      <c r="D221" s="46" t="s">
        <v>170</v>
      </c>
      <c r="E221" s="73" t="s">
        <v>200</v>
      </c>
      <c r="F221" s="92" t="s">
        <v>248</v>
      </c>
      <c r="G221" s="55" t="s">
        <v>23</v>
      </c>
      <c r="H221" s="75"/>
      <c r="I221" s="75"/>
      <c r="J221" s="75"/>
      <c r="K221" s="67"/>
      <c r="L221" s="227">
        <f t="shared" si="35"/>
        <v>215</v>
      </c>
      <c r="O221" s="42"/>
      <c r="P221" s="43"/>
      <c r="Q221" s="43"/>
      <c r="R221" s="43"/>
      <c r="S221" s="44"/>
      <c r="T221" s="186"/>
      <c r="Y221" s="81"/>
    </row>
    <row r="222" spans="2:25" ht="15" customHeight="1" x14ac:dyDescent="0.2">
      <c r="B222" s="32" t="str">
        <f t="shared" si="0"/>
        <v>תכניות/פרקים</v>
      </c>
      <c r="C222" s="45" t="str">
        <f>'מק"ט'!$C$3&amp;VLOOKUP(G222,'מק"ט'!$D$2:$E$9,2,FALSE)&amp;VLOOKUP(E222,'מק"ט'!$F$2:$G$9,2,FALSE)&amp;D222</f>
        <v>76110206</v>
      </c>
      <c r="D222" s="46" t="s">
        <v>170</v>
      </c>
      <c r="E222" s="73" t="s">
        <v>200</v>
      </c>
      <c r="F222" s="92" t="s">
        <v>249</v>
      </c>
      <c r="G222" s="55" t="s">
        <v>25</v>
      </c>
      <c r="H222" s="75"/>
      <c r="I222" s="75"/>
      <c r="J222" s="75"/>
      <c r="K222" s="67"/>
      <c r="L222" s="227">
        <f t="shared" si="35"/>
        <v>220</v>
      </c>
      <c r="O222" s="42">
        <f>תקציב!J76</f>
        <v>0</v>
      </c>
      <c r="P222" s="43">
        <f>תקציב!I76</f>
        <v>0</v>
      </c>
      <c r="Q222" s="43">
        <f>תקציב!G76</f>
        <v>0</v>
      </c>
      <c r="R222" s="43">
        <f t="shared" si="43"/>
        <v>0</v>
      </c>
      <c r="S222" s="44">
        <f t="shared" si="44"/>
        <v>0</v>
      </c>
      <c r="T222" s="186">
        <f>תקציב!K76-S222</f>
        <v>0</v>
      </c>
      <c r="Y222" s="81"/>
    </row>
    <row r="223" spans="2:25" ht="15" customHeight="1" x14ac:dyDescent="0.2">
      <c r="B223" s="32" t="str">
        <f t="shared" si="0"/>
        <v>ימים</v>
      </c>
      <c r="C223" s="45" t="str">
        <f>'מק"ט'!$C$3&amp;VLOOKUP(G223,'מק"ט'!$D$2:$E$9,2,FALSE)&amp;VLOOKUP(E223,'מק"ט'!$F$2:$G$9,2,FALSE)&amp;D223</f>
        <v>76120206</v>
      </c>
      <c r="D223" s="46" t="s">
        <v>170</v>
      </c>
      <c r="E223" s="73" t="s">
        <v>200</v>
      </c>
      <c r="F223" s="92" t="s">
        <v>249</v>
      </c>
      <c r="G223" s="55" t="s">
        <v>21</v>
      </c>
      <c r="H223" s="75"/>
      <c r="I223" s="75"/>
      <c r="J223" s="75"/>
      <c r="K223" s="67"/>
      <c r="L223" s="227">
        <f t="shared" si="35"/>
        <v>220</v>
      </c>
      <c r="O223" s="42"/>
      <c r="P223" s="43"/>
      <c r="Q223" s="43"/>
      <c r="R223" s="43"/>
      <c r="S223" s="44"/>
      <c r="T223" s="186"/>
      <c r="Y223" s="81"/>
    </row>
    <row r="224" spans="2:25" ht="15" customHeight="1" x14ac:dyDescent="0.2">
      <c r="B224" s="32" t="str">
        <f t="shared" si="0"/>
        <v>שבועות</v>
      </c>
      <c r="C224" s="45" t="str">
        <f>'מק"ט'!$C$3&amp;VLOOKUP(G224,'מק"ט'!$D$2:$E$9,2,FALSE)&amp;VLOOKUP(E224,'מק"ט'!$F$2:$G$9,2,FALSE)&amp;D224</f>
        <v>76130206</v>
      </c>
      <c r="D224" s="46" t="s">
        <v>170</v>
      </c>
      <c r="E224" s="73" t="s">
        <v>200</v>
      </c>
      <c r="F224" s="92" t="s">
        <v>249</v>
      </c>
      <c r="G224" s="55" t="s">
        <v>26</v>
      </c>
      <c r="H224" s="75"/>
      <c r="I224" s="75"/>
      <c r="J224" s="75"/>
      <c r="K224" s="67"/>
      <c r="L224" s="227">
        <f t="shared" si="35"/>
        <v>220</v>
      </c>
      <c r="O224" s="42"/>
      <c r="P224" s="43"/>
      <c r="Q224" s="43"/>
      <c r="R224" s="43"/>
      <c r="S224" s="44"/>
      <c r="T224" s="186"/>
      <c r="Y224" s="81"/>
    </row>
    <row r="225" spans="2:25" ht="15" customHeight="1" x14ac:dyDescent="0.2">
      <c r="B225" s="32" t="str">
        <f t="shared" si="0"/>
        <v>חודשים</v>
      </c>
      <c r="C225" s="45" t="str">
        <f>'מק"ט'!$C$3&amp;VLOOKUP(G225,'מק"ט'!$D$2:$E$9,2,FALSE)&amp;VLOOKUP(E225,'מק"ט'!$F$2:$G$9,2,FALSE)&amp;D225</f>
        <v>76140206</v>
      </c>
      <c r="D225" s="46" t="s">
        <v>170</v>
      </c>
      <c r="E225" s="73" t="s">
        <v>200</v>
      </c>
      <c r="F225" s="92" t="s">
        <v>249</v>
      </c>
      <c r="G225" s="55" t="s">
        <v>24</v>
      </c>
      <c r="H225" s="75"/>
      <c r="I225" s="75"/>
      <c r="J225" s="75"/>
      <c r="K225" s="67"/>
      <c r="L225" s="227">
        <f t="shared" si="35"/>
        <v>220</v>
      </c>
      <c r="O225" s="42"/>
      <c r="P225" s="43"/>
      <c r="Q225" s="43"/>
      <c r="R225" s="43"/>
      <c r="S225" s="44"/>
      <c r="T225" s="186"/>
      <c r="Y225" s="81"/>
    </row>
    <row r="226" spans="2:25" ht="15" customHeight="1" x14ac:dyDescent="0.2">
      <c r="B226" s="32" t="str">
        <f t="shared" si="0"/>
        <v>עונתי גלובלי</v>
      </c>
      <c r="C226" s="45" t="str">
        <f>'מק"ט'!$C$3&amp;VLOOKUP(G226,'מק"ט'!$D$2:$E$9,2,FALSE)&amp;VLOOKUP(E226,'מק"ט'!$F$2:$G$9,2,FALSE)&amp;D226</f>
        <v>76150206</v>
      </c>
      <c r="D226" s="46" t="s">
        <v>170</v>
      </c>
      <c r="E226" s="73" t="s">
        <v>200</v>
      </c>
      <c r="F226" s="92" t="s">
        <v>249</v>
      </c>
      <c r="G226" s="55" t="s">
        <v>23</v>
      </c>
      <c r="H226" s="75"/>
      <c r="I226" s="75"/>
      <c r="J226" s="75"/>
      <c r="K226" s="67"/>
      <c r="L226" s="227">
        <f t="shared" si="35"/>
        <v>220</v>
      </c>
      <c r="O226" s="42"/>
      <c r="P226" s="43"/>
      <c r="Q226" s="43"/>
      <c r="R226" s="43"/>
      <c r="S226" s="44"/>
      <c r="T226" s="186"/>
      <c r="Y226" s="81"/>
    </row>
    <row r="227" spans="2:25" ht="15" customHeight="1" x14ac:dyDescent="0.2">
      <c r="B227" s="32" t="str">
        <f t="shared" si="0"/>
        <v>תכניות/פרקים</v>
      </c>
      <c r="C227" s="45" t="str">
        <f>'מק"ט'!$C$3&amp;VLOOKUP(G227,'מק"ט'!$D$2:$E$9,2,FALSE)&amp;VLOOKUP(E227,'מק"ט'!$F$2:$G$9,2,FALSE)&amp;D227</f>
        <v>76110206</v>
      </c>
      <c r="D227" s="46" t="s">
        <v>170</v>
      </c>
      <c r="E227" s="73" t="s">
        <v>200</v>
      </c>
      <c r="F227" s="92" t="s">
        <v>250</v>
      </c>
      <c r="G227" s="55" t="s">
        <v>25</v>
      </c>
      <c r="H227" s="75"/>
      <c r="I227" s="75"/>
      <c r="J227" s="75"/>
      <c r="K227" s="67"/>
      <c r="L227" s="227">
        <f t="shared" si="35"/>
        <v>225</v>
      </c>
      <c r="O227" s="42">
        <f>תקציב!J77</f>
        <v>0</v>
      </c>
      <c r="P227" s="43">
        <f>תקציב!I77</f>
        <v>0</v>
      </c>
      <c r="Q227" s="43">
        <f>תקציב!G77</f>
        <v>0</v>
      </c>
      <c r="R227" s="43">
        <f t="shared" si="43"/>
        <v>0</v>
      </c>
      <c r="S227" s="44">
        <f t="shared" si="44"/>
        <v>0</v>
      </c>
      <c r="T227" s="186">
        <f>תקציב!K77-S227</f>
        <v>0</v>
      </c>
      <c r="Y227" s="81"/>
    </row>
    <row r="228" spans="2:25" ht="15" customHeight="1" x14ac:dyDescent="0.2">
      <c r="B228" s="32" t="str">
        <f t="shared" si="0"/>
        <v>ימים</v>
      </c>
      <c r="C228" s="45" t="str">
        <f>'מק"ט'!$C$3&amp;VLOOKUP(G228,'מק"ט'!$D$2:$E$9,2,FALSE)&amp;VLOOKUP(E228,'מק"ט'!$F$2:$G$9,2,FALSE)&amp;D228</f>
        <v>76120206</v>
      </c>
      <c r="D228" s="46" t="s">
        <v>170</v>
      </c>
      <c r="E228" s="73" t="s">
        <v>200</v>
      </c>
      <c r="F228" s="92" t="s">
        <v>250</v>
      </c>
      <c r="G228" s="55" t="s">
        <v>21</v>
      </c>
      <c r="H228" s="75"/>
      <c r="I228" s="75"/>
      <c r="J228" s="75"/>
      <c r="K228" s="67"/>
      <c r="L228" s="227">
        <f t="shared" si="35"/>
        <v>225</v>
      </c>
      <c r="O228" s="42"/>
      <c r="P228" s="43"/>
      <c r="Q228" s="43"/>
      <c r="R228" s="43"/>
      <c r="S228" s="44"/>
      <c r="T228" s="186"/>
      <c r="Y228" s="81"/>
    </row>
    <row r="229" spans="2:25" ht="15" customHeight="1" x14ac:dyDescent="0.2">
      <c r="B229" s="32" t="str">
        <f t="shared" si="0"/>
        <v>שבועות</v>
      </c>
      <c r="C229" s="45" t="str">
        <f>'מק"ט'!$C$3&amp;VLOOKUP(G229,'מק"ט'!$D$2:$E$9,2,FALSE)&amp;VLOOKUP(E229,'מק"ט'!$F$2:$G$9,2,FALSE)&amp;D229</f>
        <v>76130206</v>
      </c>
      <c r="D229" s="46" t="s">
        <v>170</v>
      </c>
      <c r="E229" s="73" t="s">
        <v>200</v>
      </c>
      <c r="F229" s="92" t="s">
        <v>250</v>
      </c>
      <c r="G229" s="55" t="s">
        <v>26</v>
      </c>
      <c r="H229" s="75"/>
      <c r="I229" s="75"/>
      <c r="J229" s="75"/>
      <c r="K229" s="67"/>
      <c r="L229" s="227">
        <f t="shared" si="35"/>
        <v>225</v>
      </c>
      <c r="O229" s="42"/>
      <c r="P229" s="43"/>
      <c r="Q229" s="43"/>
      <c r="R229" s="43"/>
      <c r="S229" s="44"/>
      <c r="T229" s="186"/>
      <c r="Y229" s="81"/>
    </row>
    <row r="230" spans="2:25" ht="15" customHeight="1" x14ac:dyDescent="0.2">
      <c r="B230" s="32" t="str">
        <f t="shared" si="0"/>
        <v>חודשים</v>
      </c>
      <c r="C230" s="45" t="str">
        <f>'מק"ט'!$C$3&amp;VLOOKUP(G230,'מק"ט'!$D$2:$E$9,2,FALSE)&amp;VLOOKUP(E230,'מק"ט'!$F$2:$G$9,2,FALSE)&amp;D230</f>
        <v>76140206</v>
      </c>
      <c r="D230" s="46" t="s">
        <v>170</v>
      </c>
      <c r="E230" s="73" t="s">
        <v>200</v>
      </c>
      <c r="F230" s="92" t="s">
        <v>250</v>
      </c>
      <c r="G230" s="55" t="s">
        <v>24</v>
      </c>
      <c r="H230" s="75"/>
      <c r="I230" s="75"/>
      <c r="J230" s="75"/>
      <c r="K230" s="67"/>
      <c r="L230" s="227">
        <f t="shared" si="35"/>
        <v>225</v>
      </c>
      <c r="O230" s="42"/>
      <c r="P230" s="43"/>
      <c r="Q230" s="43"/>
      <c r="R230" s="43"/>
      <c r="S230" s="44"/>
      <c r="T230" s="186"/>
      <c r="Y230" s="81"/>
    </row>
    <row r="231" spans="2:25" ht="15" customHeight="1" x14ac:dyDescent="0.2">
      <c r="B231" s="32" t="str">
        <f t="shared" si="0"/>
        <v>עונתי גלובלי</v>
      </c>
      <c r="C231" s="45" t="str">
        <f>'מק"ט'!$C$3&amp;VLOOKUP(G231,'מק"ט'!$D$2:$E$9,2,FALSE)&amp;VLOOKUP(E231,'מק"ט'!$F$2:$G$9,2,FALSE)&amp;D231</f>
        <v>76150206</v>
      </c>
      <c r="D231" s="46" t="s">
        <v>170</v>
      </c>
      <c r="E231" s="73" t="s">
        <v>200</v>
      </c>
      <c r="F231" s="92" t="s">
        <v>250</v>
      </c>
      <c r="G231" s="55" t="s">
        <v>23</v>
      </c>
      <c r="H231" s="75"/>
      <c r="I231" s="75"/>
      <c r="J231" s="75"/>
      <c r="K231" s="67"/>
      <c r="L231" s="227">
        <f t="shared" si="35"/>
        <v>225</v>
      </c>
      <c r="O231" s="42"/>
      <c r="P231" s="43"/>
      <c r="Q231" s="43"/>
      <c r="R231" s="43"/>
      <c r="S231" s="44"/>
      <c r="T231" s="186"/>
      <c r="Y231" s="81"/>
    </row>
    <row r="232" spans="2:25" ht="15" customHeight="1" x14ac:dyDescent="0.2">
      <c r="B232" s="32" t="str">
        <f t="shared" si="0"/>
        <v>תכניות/פרקים</v>
      </c>
      <c r="C232" s="45" t="str">
        <f>'מק"ט'!$C$3&amp;VLOOKUP(G232,'מק"ט'!$D$2:$E$9,2,FALSE)&amp;VLOOKUP(E232,'מק"ט'!$F$2:$G$9,2,FALSE)&amp;D232</f>
        <v>76110206</v>
      </c>
      <c r="D232" s="46" t="s">
        <v>170</v>
      </c>
      <c r="E232" s="73" t="s">
        <v>200</v>
      </c>
      <c r="F232" s="92" t="s">
        <v>251</v>
      </c>
      <c r="G232" s="55" t="s">
        <v>25</v>
      </c>
      <c r="H232" s="75"/>
      <c r="I232" s="75"/>
      <c r="J232" s="75"/>
      <c r="K232" s="67"/>
      <c r="L232" s="227">
        <f t="shared" si="35"/>
        <v>230</v>
      </c>
      <c r="O232" s="42">
        <f>תקציב!J78</f>
        <v>0</v>
      </c>
      <c r="P232" s="43">
        <f>תקציב!I78</f>
        <v>0</v>
      </c>
      <c r="Q232" s="43">
        <f>תקציב!G78</f>
        <v>0</v>
      </c>
      <c r="R232" s="43">
        <f t="shared" si="43"/>
        <v>0</v>
      </c>
      <c r="S232" s="44">
        <f t="shared" si="44"/>
        <v>0</v>
      </c>
      <c r="T232" s="186">
        <f>תקציב!K78-S232</f>
        <v>0</v>
      </c>
      <c r="Y232" s="81"/>
    </row>
    <row r="233" spans="2:25" ht="15" customHeight="1" x14ac:dyDescent="0.2">
      <c r="B233" s="32" t="str">
        <f t="shared" si="0"/>
        <v>ימים</v>
      </c>
      <c r="C233" s="45" t="str">
        <f>'מק"ט'!$C$3&amp;VLOOKUP(G233,'מק"ט'!$D$2:$E$9,2,FALSE)&amp;VLOOKUP(E233,'מק"ט'!$F$2:$G$9,2,FALSE)&amp;D233</f>
        <v>76120206</v>
      </c>
      <c r="D233" s="46" t="s">
        <v>170</v>
      </c>
      <c r="E233" s="73" t="s">
        <v>200</v>
      </c>
      <c r="F233" s="92" t="s">
        <v>251</v>
      </c>
      <c r="G233" s="55" t="s">
        <v>21</v>
      </c>
      <c r="H233" s="75"/>
      <c r="I233" s="75"/>
      <c r="J233" s="75"/>
      <c r="K233" s="67"/>
      <c r="L233" s="227">
        <f t="shared" si="35"/>
        <v>230</v>
      </c>
      <c r="O233" s="42"/>
      <c r="P233" s="43"/>
      <c r="Q233" s="43"/>
      <c r="R233" s="43"/>
      <c r="S233" s="44"/>
      <c r="T233" s="186"/>
      <c r="Y233" s="81"/>
    </row>
    <row r="234" spans="2:25" ht="15" customHeight="1" x14ac:dyDescent="0.2">
      <c r="B234" s="32" t="str">
        <f t="shared" si="0"/>
        <v>שבועות</v>
      </c>
      <c r="C234" s="45" t="str">
        <f>'מק"ט'!$C$3&amp;VLOOKUP(G234,'מק"ט'!$D$2:$E$9,2,FALSE)&amp;VLOOKUP(E234,'מק"ט'!$F$2:$G$9,2,FALSE)&amp;D234</f>
        <v>76130206</v>
      </c>
      <c r="D234" s="46" t="s">
        <v>170</v>
      </c>
      <c r="E234" s="73" t="s">
        <v>200</v>
      </c>
      <c r="F234" s="92" t="s">
        <v>251</v>
      </c>
      <c r="G234" s="55" t="s">
        <v>26</v>
      </c>
      <c r="H234" s="75"/>
      <c r="I234" s="75"/>
      <c r="J234" s="75"/>
      <c r="K234" s="67"/>
      <c r="L234" s="227">
        <f t="shared" si="35"/>
        <v>230</v>
      </c>
      <c r="O234" s="42"/>
      <c r="P234" s="43"/>
      <c r="Q234" s="43"/>
      <c r="R234" s="43"/>
      <c r="S234" s="44"/>
      <c r="T234" s="186"/>
      <c r="Y234" s="81"/>
    </row>
    <row r="235" spans="2:25" ht="15" customHeight="1" x14ac:dyDescent="0.2">
      <c r="B235" s="32" t="str">
        <f t="shared" si="0"/>
        <v>חודשים</v>
      </c>
      <c r="C235" s="45" t="str">
        <f>'מק"ט'!$C$3&amp;VLOOKUP(G235,'מק"ט'!$D$2:$E$9,2,FALSE)&amp;VLOOKUP(E235,'מק"ט'!$F$2:$G$9,2,FALSE)&amp;D235</f>
        <v>76140206</v>
      </c>
      <c r="D235" s="46" t="s">
        <v>170</v>
      </c>
      <c r="E235" s="73" t="s">
        <v>200</v>
      </c>
      <c r="F235" s="92" t="s">
        <v>251</v>
      </c>
      <c r="G235" s="55" t="s">
        <v>24</v>
      </c>
      <c r="H235" s="75"/>
      <c r="I235" s="75"/>
      <c r="J235" s="75"/>
      <c r="K235" s="67"/>
      <c r="L235" s="227">
        <f t="shared" si="35"/>
        <v>230</v>
      </c>
      <c r="O235" s="42"/>
      <c r="P235" s="43"/>
      <c r="Q235" s="43"/>
      <c r="R235" s="43"/>
      <c r="S235" s="44"/>
      <c r="T235" s="186"/>
      <c r="Y235" s="81"/>
    </row>
    <row r="236" spans="2:25" ht="15" customHeight="1" x14ac:dyDescent="0.2">
      <c r="B236" s="32" t="str">
        <f t="shared" si="0"/>
        <v>עונתי גלובלי</v>
      </c>
      <c r="C236" s="45" t="str">
        <f>'מק"ט'!$C$3&amp;VLOOKUP(G236,'מק"ט'!$D$2:$E$9,2,FALSE)&amp;VLOOKUP(E236,'מק"ט'!$F$2:$G$9,2,FALSE)&amp;D236</f>
        <v>76150206</v>
      </c>
      <c r="D236" s="46" t="s">
        <v>170</v>
      </c>
      <c r="E236" s="73" t="s">
        <v>200</v>
      </c>
      <c r="F236" s="92" t="s">
        <v>251</v>
      </c>
      <c r="G236" s="55" t="s">
        <v>23</v>
      </c>
      <c r="H236" s="75"/>
      <c r="I236" s="75"/>
      <c r="J236" s="75"/>
      <c r="K236" s="67"/>
      <c r="L236" s="227">
        <f t="shared" si="35"/>
        <v>230</v>
      </c>
      <c r="O236" s="42"/>
      <c r="P236" s="43"/>
      <c r="Q236" s="43"/>
      <c r="R236" s="43"/>
      <c r="S236" s="44"/>
      <c r="T236" s="186"/>
      <c r="Y236" s="81"/>
    </row>
    <row r="237" spans="2:25" ht="15" customHeight="1" x14ac:dyDescent="0.2">
      <c r="B237" s="32" t="str">
        <f t="shared" si="0"/>
        <v>תכניות/פרקים</v>
      </c>
      <c r="C237" s="45" t="str">
        <f>'מק"ט'!$C$3&amp;VLOOKUP(G237,'מק"ט'!$D$2:$E$9,2,FALSE)&amp;VLOOKUP(E237,'מק"ט'!$F$2:$G$9,2,FALSE)&amp;D237</f>
        <v>76110206</v>
      </c>
      <c r="D237" s="46" t="s">
        <v>170</v>
      </c>
      <c r="E237" s="73" t="s">
        <v>200</v>
      </c>
      <c r="F237" s="92" t="s">
        <v>252</v>
      </c>
      <c r="G237" s="55" t="s">
        <v>25</v>
      </c>
      <c r="H237" s="75"/>
      <c r="I237" s="75"/>
      <c r="J237" s="75"/>
      <c r="K237" s="67"/>
      <c r="L237" s="227">
        <f t="shared" si="35"/>
        <v>235</v>
      </c>
      <c r="O237" s="42">
        <f>תקציב!J79</f>
        <v>0</v>
      </c>
      <c r="P237" s="43">
        <f>תקציב!I79</f>
        <v>0</v>
      </c>
      <c r="Q237" s="43">
        <f>תקציב!G79</f>
        <v>0</v>
      </c>
      <c r="R237" s="43">
        <f t="shared" si="43"/>
        <v>0</v>
      </c>
      <c r="S237" s="44">
        <f t="shared" si="44"/>
        <v>0</v>
      </c>
      <c r="T237" s="186">
        <f>תקציב!K79-S237</f>
        <v>0</v>
      </c>
      <c r="Y237" s="81"/>
    </row>
    <row r="238" spans="2:25" ht="15" customHeight="1" x14ac:dyDescent="0.2">
      <c r="B238" s="32" t="str">
        <f t="shared" si="0"/>
        <v>ימים</v>
      </c>
      <c r="C238" s="45" t="str">
        <f>'מק"ט'!$C$3&amp;VLOOKUP(G238,'מק"ט'!$D$2:$E$9,2,FALSE)&amp;VLOOKUP(E238,'מק"ט'!$F$2:$G$9,2,FALSE)&amp;D238</f>
        <v>76120206</v>
      </c>
      <c r="D238" s="46" t="s">
        <v>170</v>
      </c>
      <c r="E238" s="73" t="s">
        <v>200</v>
      </c>
      <c r="F238" s="92" t="s">
        <v>252</v>
      </c>
      <c r="G238" s="55" t="s">
        <v>21</v>
      </c>
      <c r="H238" s="75"/>
      <c r="I238" s="75"/>
      <c r="J238" s="75"/>
      <c r="K238" s="67"/>
      <c r="L238" s="227">
        <f t="shared" si="35"/>
        <v>235</v>
      </c>
      <c r="O238" s="42"/>
      <c r="P238" s="43"/>
      <c r="Q238" s="43"/>
      <c r="R238" s="43"/>
      <c r="S238" s="44"/>
      <c r="T238" s="186"/>
      <c r="Y238" s="81"/>
    </row>
    <row r="239" spans="2:25" ht="15" customHeight="1" x14ac:dyDescent="0.2">
      <c r="B239" s="32" t="str">
        <f t="shared" si="0"/>
        <v>שבועות</v>
      </c>
      <c r="C239" s="45" t="str">
        <f>'מק"ט'!$C$3&amp;VLOOKUP(G239,'מק"ט'!$D$2:$E$9,2,FALSE)&amp;VLOOKUP(E239,'מק"ט'!$F$2:$G$9,2,FALSE)&amp;D239</f>
        <v>76130206</v>
      </c>
      <c r="D239" s="46" t="s">
        <v>170</v>
      </c>
      <c r="E239" s="73" t="s">
        <v>200</v>
      </c>
      <c r="F239" s="92" t="s">
        <v>252</v>
      </c>
      <c r="G239" s="55" t="s">
        <v>26</v>
      </c>
      <c r="H239" s="75"/>
      <c r="I239" s="75"/>
      <c r="J239" s="75"/>
      <c r="K239" s="67"/>
      <c r="L239" s="227">
        <f t="shared" si="35"/>
        <v>235</v>
      </c>
      <c r="O239" s="42"/>
      <c r="P239" s="43"/>
      <c r="Q239" s="43"/>
      <c r="R239" s="43"/>
      <c r="S239" s="44"/>
      <c r="T239" s="186"/>
      <c r="Y239" s="81"/>
    </row>
    <row r="240" spans="2:25" ht="15" customHeight="1" x14ac:dyDescent="0.2">
      <c r="B240" s="32" t="str">
        <f t="shared" si="0"/>
        <v>חודשים</v>
      </c>
      <c r="C240" s="45" t="str">
        <f>'מק"ט'!$C$3&amp;VLOOKUP(G240,'מק"ט'!$D$2:$E$9,2,FALSE)&amp;VLOOKUP(E240,'מק"ט'!$F$2:$G$9,2,FALSE)&amp;D240</f>
        <v>76140206</v>
      </c>
      <c r="D240" s="46" t="s">
        <v>170</v>
      </c>
      <c r="E240" s="73" t="s">
        <v>200</v>
      </c>
      <c r="F240" s="92" t="s">
        <v>252</v>
      </c>
      <c r="G240" s="55" t="s">
        <v>24</v>
      </c>
      <c r="H240" s="75"/>
      <c r="I240" s="75"/>
      <c r="J240" s="75"/>
      <c r="K240" s="67"/>
      <c r="L240" s="227">
        <f t="shared" si="35"/>
        <v>235</v>
      </c>
      <c r="O240" s="42"/>
      <c r="P240" s="43"/>
      <c r="Q240" s="43"/>
      <c r="R240" s="43"/>
      <c r="S240" s="44"/>
      <c r="T240" s="186"/>
      <c r="Y240" s="81"/>
    </row>
    <row r="241" spans="2:25" ht="15" customHeight="1" x14ac:dyDescent="0.2">
      <c r="B241" s="32" t="str">
        <f t="shared" si="0"/>
        <v>עונתי גלובלי</v>
      </c>
      <c r="C241" s="45" t="str">
        <f>'מק"ט'!$C$3&amp;VLOOKUP(G241,'מק"ט'!$D$2:$E$9,2,FALSE)&amp;VLOOKUP(E241,'מק"ט'!$F$2:$G$9,2,FALSE)&amp;D241</f>
        <v>76150206</v>
      </c>
      <c r="D241" s="46" t="s">
        <v>170</v>
      </c>
      <c r="E241" s="73" t="s">
        <v>200</v>
      </c>
      <c r="F241" s="92" t="s">
        <v>252</v>
      </c>
      <c r="G241" s="55" t="s">
        <v>23</v>
      </c>
      <c r="H241" s="75"/>
      <c r="I241" s="75"/>
      <c r="J241" s="75"/>
      <c r="K241" s="67"/>
      <c r="L241" s="227">
        <f t="shared" si="35"/>
        <v>235</v>
      </c>
      <c r="O241" s="42"/>
      <c r="P241" s="43"/>
      <c r="Q241" s="43"/>
      <c r="R241" s="43"/>
      <c r="S241" s="44"/>
      <c r="T241" s="186"/>
      <c r="Y241" s="81"/>
    </row>
    <row r="242" spans="2:25" ht="15" customHeight="1" x14ac:dyDescent="0.2">
      <c r="B242" s="32" t="str">
        <f t="shared" si="0"/>
        <v>תכניות/פרקים</v>
      </c>
      <c r="C242" s="45" t="str">
        <f>'מק"ט'!$C$3&amp;VLOOKUP(G242,'מק"ט'!$D$2:$E$9,2,FALSE)&amp;VLOOKUP(E242,'מק"ט'!$F$2:$G$9,2,FALSE)&amp;D242</f>
        <v>76110206</v>
      </c>
      <c r="D242" s="46" t="s">
        <v>170</v>
      </c>
      <c r="E242" s="73" t="s">
        <v>200</v>
      </c>
      <c r="F242" s="92" t="s">
        <v>253</v>
      </c>
      <c r="G242" s="55" t="s">
        <v>25</v>
      </c>
      <c r="H242" s="75"/>
      <c r="I242" s="75"/>
      <c r="J242" s="75"/>
      <c r="K242" s="67"/>
      <c r="L242" s="227">
        <f t="shared" si="35"/>
        <v>240</v>
      </c>
      <c r="O242" s="42">
        <f>תקציב!J80</f>
        <v>0</v>
      </c>
      <c r="P242" s="43">
        <f>תקציב!I80</f>
        <v>0</v>
      </c>
      <c r="Q242" s="43">
        <f>תקציב!G80</f>
        <v>0</v>
      </c>
      <c r="R242" s="43">
        <f t="shared" si="43"/>
        <v>0</v>
      </c>
      <c r="S242" s="44">
        <f t="shared" si="44"/>
        <v>0</v>
      </c>
      <c r="T242" s="186">
        <f>תקציב!K80-S242</f>
        <v>0</v>
      </c>
      <c r="Y242" s="81"/>
    </row>
    <row r="243" spans="2:25" ht="15" customHeight="1" x14ac:dyDescent="0.2">
      <c r="B243" s="32" t="str">
        <f t="shared" si="0"/>
        <v>ימים</v>
      </c>
      <c r="C243" s="45" t="str">
        <f>'מק"ט'!$C$3&amp;VLOOKUP(G243,'מק"ט'!$D$2:$E$9,2,FALSE)&amp;VLOOKUP(E243,'מק"ט'!$F$2:$G$9,2,FALSE)&amp;D243</f>
        <v>76120206</v>
      </c>
      <c r="D243" s="46" t="s">
        <v>170</v>
      </c>
      <c r="E243" s="73" t="s">
        <v>200</v>
      </c>
      <c r="F243" s="92" t="s">
        <v>253</v>
      </c>
      <c r="G243" s="55" t="s">
        <v>21</v>
      </c>
      <c r="H243" s="75"/>
      <c r="I243" s="75"/>
      <c r="J243" s="75"/>
      <c r="K243" s="67"/>
      <c r="L243" s="227">
        <f t="shared" si="35"/>
        <v>240</v>
      </c>
      <c r="O243" s="42"/>
      <c r="P243" s="43"/>
      <c r="Q243" s="43"/>
      <c r="R243" s="43"/>
      <c r="S243" s="44"/>
      <c r="T243" s="186"/>
      <c r="Y243" s="81"/>
    </row>
    <row r="244" spans="2:25" ht="15" customHeight="1" x14ac:dyDescent="0.2">
      <c r="B244" s="32" t="str">
        <f t="shared" si="0"/>
        <v>שבועות</v>
      </c>
      <c r="C244" s="45" t="str">
        <f>'מק"ט'!$C$3&amp;VLOOKUP(G244,'מק"ט'!$D$2:$E$9,2,FALSE)&amp;VLOOKUP(E244,'מק"ט'!$F$2:$G$9,2,FALSE)&amp;D244</f>
        <v>76130206</v>
      </c>
      <c r="D244" s="46" t="s">
        <v>170</v>
      </c>
      <c r="E244" s="73" t="s">
        <v>200</v>
      </c>
      <c r="F244" s="92" t="s">
        <v>253</v>
      </c>
      <c r="G244" s="55" t="s">
        <v>26</v>
      </c>
      <c r="H244" s="75"/>
      <c r="I244" s="75"/>
      <c r="J244" s="75"/>
      <c r="K244" s="67"/>
      <c r="L244" s="227">
        <f t="shared" si="35"/>
        <v>240</v>
      </c>
      <c r="O244" s="42"/>
      <c r="P244" s="43"/>
      <c r="Q244" s="43"/>
      <c r="R244" s="43"/>
      <c r="S244" s="44"/>
      <c r="T244" s="186"/>
      <c r="Y244" s="81"/>
    </row>
    <row r="245" spans="2:25" ht="15" customHeight="1" x14ac:dyDescent="0.2">
      <c r="B245" s="32" t="str">
        <f t="shared" si="0"/>
        <v>חודשים</v>
      </c>
      <c r="C245" s="45" t="str">
        <f>'מק"ט'!$C$3&amp;VLOOKUP(G245,'מק"ט'!$D$2:$E$9,2,FALSE)&amp;VLOOKUP(E245,'מק"ט'!$F$2:$G$9,2,FALSE)&amp;D245</f>
        <v>76140206</v>
      </c>
      <c r="D245" s="46" t="s">
        <v>170</v>
      </c>
      <c r="E245" s="73" t="s">
        <v>200</v>
      </c>
      <c r="F245" s="92" t="s">
        <v>253</v>
      </c>
      <c r="G245" s="55" t="s">
        <v>24</v>
      </c>
      <c r="H245" s="75"/>
      <c r="I245" s="75"/>
      <c r="J245" s="75"/>
      <c r="K245" s="67"/>
      <c r="L245" s="227">
        <f t="shared" si="35"/>
        <v>240</v>
      </c>
      <c r="O245" s="42"/>
      <c r="P245" s="43"/>
      <c r="Q245" s="43"/>
      <c r="R245" s="43"/>
      <c r="S245" s="44"/>
      <c r="T245" s="186"/>
      <c r="Y245" s="81"/>
    </row>
    <row r="246" spans="2:25" ht="15" customHeight="1" x14ac:dyDescent="0.2">
      <c r="B246" s="32" t="str">
        <f t="shared" si="0"/>
        <v>עונתי גלובלי</v>
      </c>
      <c r="C246" s="45" t="str">
        <f>'מק"ט'!$C$3&amp;VLOOKUP(G246,'מק"ט'!$D$2:$E$9,2,FALSE)&amp;VLOOKUP(E246,'מק"ט'!$F$2:$G$9,2,FALSE)&amp;D246</f>
        <v>76150206</v>
      </c>
      <c r="D246" s="46" t="s">
        <v>170</v>
      </c>
      <c r="E246" s="73" t="s">
        <v>200</v>
      </c>
      <c r="F246" s="92" t="s">
        <v>253</v>
      </c>
      <c r="G246" s="55" t="s">
        <v>23</v>
      </c>
      <c r="H246" s="75"/>
      <c r="I246" s="75"/>
      <c r="J246" s="75"/>
      <c r="K246" s="67"/>
      <c r="L246" s="227">
        <f t="shared" si="35"/>
        <v>240</v>
      </c>
      <c r="O246" s="42"/>
      <c r="P246" s="43"/>
      <c r="Q246" s="43"/>
      <c r="R246" s="43"/>
      <c r="S246" s="44"/>
      <c r="T246" s="186"/>
      <c r="Y246" s="81"/>
    </row>
    <row r="247" spans="2:25" ht="15" customHeight="1" x14ac:dyDescent="0.2">
      <c r="B247" s="32" t="str">
        <f t="shared" si="0"/>
        <v>תכניות/פרקים</v>
      </c>
      <c r="C247" s="45" t="str">
        <f>'מק"ט'!$C$3&amp;VLOOKUP(G247,'מק"ט'!$D$2:$E$9,2,FALSE)&amp;VLOOKUP(E247,'מק"ט'!$F$2:$G$9,2,FALSE)&amp;D247</f>
        <v>76110207</v>
      </c>
      <c r="D247" s="60" t="s">
        <v>172</v>
      </c>
      <c r="E247" s="187" t="s">
        <v>200</v>
      </c>
      <c r="F247" s="195" t="s">
        <v>254</v>
      </c>
      <c r="G247" s="55" t="s">
        <v>25</v>
      </c>
      <c r="H247" s="188"/>
      <c r="I247" s="188"/>
      <c r="J247" s="188"/>
      <c r="K247" s="189"/>
      <c r="L247" s="227">
        <f t="shared" si="35"/>
        <v>245</v>
      </c>
      <c r="O247" s="42">
        <f>IFERROR(VLOOKUP(C247,תקציב!$D$22:$J$177,6,0),0)</f>
        <v>0</v>
      </c>
      <c r="P247" s="43">
        <f>IFERROR(VLOOKUP(C247,תקציב!$D$22:$J$177,5,0),0)</f>
        <v>0</v>
      </c>
      <c r="Q247" s="43">
        <f>IF(ISNUMBER(VLOOKUP(C247,תקציב!$D$22:$J$177,3,FALSE)),VLOOKUP(C247,תקציב!$D$22:$J$177,3,FALSE),1)</f>
        <v>1</v>
      </c>
      <c r="R247" s="43">
        <f t="shared" si="43"/>
        <v>0</v>
      </c>
      <c r="S247" s="44">
        <f t="shared" si="44"/>
        <v>0</v>
      </c>
      <c r="T247" s="186">
        <f>IFERROR(VLOOKUP(C247,תקציב!$D$22:$K$177,7,FALSE),0)-S247</f>
        <v>0</v>
      </c>
      <c r="Y247" s="81"/>
    </row>
    <row r="248" spans="2:25" ht="15" customHeight="1" x14ac:dyDescent="0.2">
      <c r="B248" s="32" t="str">
        <f t="shared" ref="B248:B251" si="45">G248</f>
        <v>ימים</v>
      </c>
      <c r="C248" s="45" t="str">
        <f>'מק"ט'!$C$3&amp;VLOOKUP(G248,'מק"ט'!$D$2:$E$9,2,FALSE)&amp;VLOOKUP(E248,'מק"ט'!$F$2:$G$9,2,FALSE)&amp;D248</f>
        <v>76120207</v>
      </c>
      <c r="D248" s="60" t="s">
        <v>172</v>
      </c>
      <c r="E248" s="187" t="s">
        <v>200</v>
      </c>
      <c r="F248" s="195" t="s">
        <v>254</v>
      </c>
      <c r="G248" s="55" t="s">
        <v>21</v>
      </c>
      <c r="H248" s="188"/>
      <c r="I248" s="188"/>
      <c r="J248" s="188"/>
      <c r="K248" s="189"/>
      <c r="L248" s="227">
        <f t="shared" si="35"/>
        <v>245</v>
      </c>
      <c r="O248" s="42"/>
      <c r="P248" s="43"/>
      <c r="Q248" s="43"/>
      <c r="R248" s="43"/>
      <c r="S248" s="44"/>
      <c r="T248" s="186"/>
      <c r="Y248" s="81"/>
    </row>
    <row r="249" spans="2:25" ht="15" customHeight="1" x14ac:dyDescent="0.2">
      <c r="B249" s="32" t="str">
        <f t="shared" si="45"/>
        <v>שבועות</v>
      </c>
      <c r="C249" s="45" t="str">
        <f>'מק"ט'!$C$3&amp;VLOOKUP(G249,'מק"ט'!$D$2:$E$9,2,FALSE)&amp;VLOOKUP(E249,'מק"ט'!$F$2:$G$9,2,FALSE)&amp;D249</f>
        <v>76130207</v>
      </c>
      <c r="D249" s="60" t="s">
        <v>172</v>
      </c>
      <c r="E249" s="187" t="s">
        <v>200</v>
      </c>
      <c r="F249" s="195" t="s">
        <v>254</v>
      </c>
      <c r="G249" s="55" t="s">
        <v>26</v>
      </c>
      <c r="H249" s="188"/>
      <c r="I249" s="188"/>
      <c r="J249" s="188"/>
      <c r="K249" s="189"/>
      <c r="L249" s="227">
        <f t="shared" si="35"/>
        <v>245</v>
      </c>
      <c r="O249" s="42"/>
      <c r="P249" s="43"/>
      <c r="Q249" s="43"/>
      <c r="R249" s="43"/>
      <c r="S249" s="44"/>
      <c r="T249" s="186"/>
      <c r="Y249" s="81"/>
    </row>
    <row r="250" spans="2:25" ht="15" customHeight="1" x14ac:dyDescent="0.2">
      <c r="B250" s="32" t="str">
        <f t="shared" si="45"/>
        <v>חודשים</v>
      </c>
      <c r="C250" s="45" t="str">
        <f>'מק"ט'!$C$3&amp;VLOOKUP(G250,'מק"ט'!$D$2:$E$9,2,FALSE)&amp;VLOOKUP(E250,'מק"ט'!$F$2:$G$9,2,FALSE)&amp;D250</f>
        <v>76140207</v>
      </c>
      <c r="D250" s="60" t="s">
        <v>172</v>
      </c>
      <c r="E250" s="187" t="s">
        <v>200</v>
      </c>
      <c r="F250" s="195" t="s">
        <v>254</v>
      </c>
      <c r="G250" s="55" t="s">
        <v>24</v>
      </c>
      <c r="H250" s="188"/>
      <c r="I250" s="188"/>
      <c r="J250" s="188"/>
      <c r="K250" s="189"/>
      <c r="L250" s="227">
        <f t="shared" si="35"/>
        <v>245</v>
      </c>
      <c r="O250" s="42"/>
      <c r="P250" s="43"/>
      <c r="Q250" s="43"/>
      <c r="R250" s="43"/>
      <c r="S250" s="44"/>
      <c r="T250" s="186"/>
      <c r="Y250" s="81"/>
    </row>
    <row r="251" spans="2:25" ht="15" customHeight="1" x14ac:dyDescent="0.2">
      <c r="B251" s="32" t="str">
        <f t="shared" si="45"/>
        <v>עונתי גלובלי</v>
      </c>
      <c r="C251" s="45" t="str">
        <f>'מק"ט'!$C$3&amp;VLOOKUP(G251,'מק"ט'!$D$2:$E$9,2,FALSE)&amp;VLOOKUP(E251,'מק"ט'!$F$2:$G$9,2,FALSE)&amp;D251</f>
        <v>76150207</v>
      </c>
      <c r="D251" s="60" t="s">
        <v>172</v>
      </c>
      <c r="E251" s="187" t="s">
        <v>200</v>
      </c>
      <c r="F251" s="195" t="s">
        <v>254</v>
      </c>
      <c r="G251" s="55" t="s">
        <v>23</v>
      </c>
      <c r="H251" s="188"/>
      <c r="I251" s="188"/>
      <c r="J251" s="188"/>
      <c r="K251" s="189"/>
      <c r="L251" s="227">
        <f t="shared" si="35"/>
        <v>245</v>
      </c>
      <c r="O251" s="42"/>
      <c r="P251" s="43"/>
      <c r="Q251" s="43"/>
      <c r="R251" s="43"/>
      <c r="S251" s="44"/>
      <c r="T251" s="186"/>
      <c r="Y251" s="81"/>
    </row>
    <row r="252" spans="2:25" ht="15.75" customHeight="1" x14ac:dyDescent="0.2">
      <c r="B252" s="32" t="str">
        <f t="shared" si="0"/>
        <v>תכניות/פרקים</v>
      </c>
      <c r="C252" s="45" t="str">
        <f>'מק"ט'!$C$3&amp;VLOOKUP(G252,'מק"ט'!$D$2:$E$9,2,FALSE)&amp;VLOOKUP(E252,'מק"ט'!$F$2:$G$9,2,FALSE)&amp;D252</f>
        <v>76110208</v>
      </c>
      <c r="D252" s="58" t="s">
        <v>166</v>
      </c>
      <c r="E252" s="73" t="s">
        <v>200</v>
      </c>
      <c r="F252" s="92" t="s">
        <v>255</v>
      </c>
      <c r="G252" s="55" t="s">
        <v>25</v>
      </c>
      <c r="H252" s="75"/>
      <c r="I252" s="75"/>
      <c r="J252" s="75"/>
      <c r="K252" s="67"/>
      <c r="L252" s="227">
        <f t="shared" si="35"/>
        <v>250</v>
      </c>
      <c r="O252" s="42">
        <f>IFERROR(VLOOKUP(C252,תקציב!$D$22:$J$177,6,0),0)</f>
        <v>0</v>
      </c>
      <c r="P252" s="43">
        <f>IFERROR(VLOOKUP(C252,תקציב!$D$22:$J$177,5,0),0)</f>
        <v>0</v>
      </c>
      <c r="Q252" s="43">
        <f>IF(ISNUMBER(VLOOKUP(C252,תקציב!$D$22:$J$177,3,FALSE)),VLOOKUP(C252,תקציב!$D$22:$J$177,3,FALSE),1)</f>
        <v>1</v>
      </c>
      <c r="R252" s="43">
        <f t="shared" si="43"/>
        <v>0</v>
      </c>
      <c r="S252" s="44">
        <f t="shared" si="44"/>
        <v>0</v>
      </c>
      <c r="T252" s="186">
        <f>IFERROR(VLOOKUP(C252,תקציב!$D$22:$K$177,7,FALSE),0)-S252</f>
        <v>0</v>
      </c>
      <c r="Y252" s="81"/>
    </row>
    <row r="253" spans="2:25" ht="15.75" customHeight="1" x14ac:dyDescent="0.2">
      <c r="B253" s="32" t="str">
        <f t="shared" ref="B253:B256" si="46">G253</f>
        <v>ימים</v>
      </c>
      <c r="C253" s="45" t="str">
        <f>'מק"ט'!$C$3&amp;VLOOKUP(G253,'מק"ט'!$D$2:$E$9,2,FALSE)&amp;VLOOKUP(E253,'מק"ט'!$F$2:$G$9,2,FALSE)&amp;D253</f>
        <v>76120209</v>
      </c>
      <c r="D253" s="58" t="s">
        <v>161</v>
      </c>
      <c r="E253" s="73" t="s">
        <v>200</v>
      </c>
      <c r="F253" s="92" t="s">
        <v>255</v>
      </c>
      <c r="G253" s="55" t="s">
        <v>21</v>
      </c>
      <c r="H253" s="75"/>
      <c r="I253" s="75"/>
      <c r="J253" s="75"/>
      <c r="K253" s="67"/>
      <c r="L253" s="227">
        <f t="shared" si="35"/>
        <v>250</v>
      </c>
      <c r="O253" s="42"/>
      <c r="P253" s="43"/>
      <c r="Q253" s="43"/>
      <c r="R253" s="43"/>
      <c r="S253" s="44"/>
      <c r="T253" s="186"/>
      <c r="Y253" s="81"/>
    </row>
    <row r="254" spans="2:25" ht="15.75" customHeight="1" x14ac:dyDescent="0.2">
      <c r="B254" s="32" t="str">
        <f t="shared" si="46"/>
        <v>שבועות</v>
      </c>
      <c r="C254" s="45" t="str">
        <f>'מק"ט'!$C$3&amp;VLOOKUP(G254,'מק"ט'!$D$2:$E$9,2,FALSE)&amp;VLOOKUP(E254,'מק"ט'!$F$2:$G$9,2,FALSE)&amp;D254</f>
        <v>76130210</v>
      </c>
      <c r="D254" s="58" t="s">
        <v>462</v>
      </c>
      <c r="E254" s="73" t="s">
        <v>200</v>
      </c>
      <c r="F254" s="92" t="s">
        <v>255</v>
      </c>
      <c r="G254" s="55" t="s">
        <v>26</v>
      </c>
      <c r="H254" s="75"/>
      <c r="I254" s="75"/>
      <c r="J254" s="75"/>
      <c r="K254" s="67"/>
      <c r="L254" s="227">
        <f t="shared" si="35"/>
        <v>250</v>
      </c>
      <c r="O254" s="42"/>
      <c r="P254" s="43"/>
      <c r="Q254" s="43"/>
      <c r="R254" s="43"/>
      <c r="S254" s="44"/>
      <c r="T254" s="186"/>
      <c r="Y254" s="81"/>
    </row>
    <row r="255" spans="2:25" ht="15.75" customHeight="1" x14ac:dyDescent="0.2">
      <c r="B255" s="32" t="str">
        <f t="shared" si="46"/>
        <v>חודשים</v>
      </c>
      <c r="C255" s="45" t="str">
        <f>'מק"ט'!$C$3&amp;VLOOKUP(G255,'מק"ט'!$D$2:$E$9,2,FALSE)&amp;VLOOKUP(E255,'מק"ט'!$F$2:$G$9,2,FALSE)&amp;D255</f>
        <v>76140211</v>
      </c>
      <c r="D255" s="58" t="s">
        <v>463</v>
      </c>
      <c r="E255" s="73" t="s">
        <v>200</v>
      </c>
      <c r="F255" s="92" t="s">
        <v>255</v>
      </c>
      <c r="G255" s="55" t="s">
        <v>24</v>
      </c>
      <c r="H255" s="75"/>
      <c r="I255" s="75"/>
      <c r="J255" s="75"/>
      <c r="K255" s="67"/>
      <c r="L255" s="227">
        <f t="shared" si="35"/>
        <v>250</v>
      </c>
      <c r="O255" s="42"/>
      <c r="P255" s="43"/>
      <c r="Q255" s="43"/>
      <c r="R255" s="43"/>
      <c r="S255" s="44"/>
      <c r="T255" s="186"/>
      <c r="Y255" s="81"/>
    </row>
    <row r="256" spans="2:25" ht="15.75" customHeight="1" x14ac:dyDescent="0.2">
      <c r="B256" s="32" t="str">
        <f t="shared" si="46"/>
        <v>עונתי גלובלי</v>
      </c>
      <c r="C256" s="45" t="str">
        <f>'מק"ט'!$C$3&amp;VLOOKUP(G256,'מק"ט'!$D$2:$E$9,2,FALSE)&amp;VLOOKUP(E256,'מק"ט'!$F$2:$G$9,2,FALSE)&amp;D256</f>
        <v>76150212</v>
      </c>
      <c r="D256" s="58" t="s">
        <v>464</v>
      </c>
      <c r="E256" s="73" t="s">
        <v>200</v>
      </c>
      <c r="F256" s="92" t="s">
        <v>255</v>
      </c>
      <c r="G256" s="55" t="s">
        <v>23</v>
      </c>
      <c r="H256" s="75"/>
      <c r="I256" s="75"/>
      <c r="J256" s="75"/>
      <c r="K256" s="67"/>
      <c r="L256" s="227">
        <f t="shared" si="35"/>
        <v>250</v>
      </c>
      <c r="O256" s="42"/>
      <c r="P256" s="43"/>
      <c r="Q256" s="43"/>
      <c r="R256" s="43"/>
      <c r="S256" s="44"/>
      <c r="T256" s="186"/>
      <c r="Y256" s="81"/>
    </row>
    <row r="257" spans="2:25" ht="15" customHeight="1" x14ac:dyDescent="0.2">
      <c r="B257" s="32" t="str">
        <f t="shared" si="0"/>
        <v>תכניות/פרקים</v>
      </c>
      <c r="C257" s="45" t="str">
        <f>'מק"ט'!$C$3&amp;VLOOKUP(G257,'מק"ט'!$D$2:$E$9,2,FALSE)&amp;VLOOKUP(E257,'מק"ט'!$F$2:$G$9,2,FALSE)&amp;D257</f>
        <v>76110209</v>
      </c>
      <c r="D257" s="60" t="s">
        <v>161</v>
      </c>
      <c r="E257" s="187" t="s">
        <v>200</v>
      </c>
      <c r="F257" s="195" t="s">
        <v>256</v>
      </c>
      <c r="G257" s="55" t="s">
        <v>25</v>
      </c>
      <c r="H257" s="188"/>
      <c r="I257" s="188"/>
      <c r="J257" s="188"/>
      <c r="K257" s="189"/>
      <c r="L257" s="227">
        <f t="shared" si="35"/>
        <v>255</v>
      </c>
      <c r="O257" s="42">
        <f>IFERROR(VLOOKUP(C257,תקציב!$D$22:$J$177,6,0),0)</f>
        <v>0</v>
      </c>
      <c r="P257" s="43">
        <f>IFERROR(VLOOKUP(C257,תקציב!$D$22:$J$177,5,0),0)</f>
        <v>0</v>
      </c>
      <c r="Q257" s="43">
        <f>IF(ISNUMBER(VLOOKUP(C257,תקציב!$D$22:$J$177,3,FALSE)),VLOOKUP(C257,תקציב!$D$22:$J$177,3,FALSE),1)</f>
        <v>1</v>
      </c>
      <c r="R257" s="43">
        <f t="shared" si="43"/>
        <v>0</v>
      </c>
      <c r="S257" s="44">
        <f t="shared" si="44"/>
        <v>0</v>
      </c>
      <c r="T257" s="186">
        <f>IFERROR(VLOOKUP(C257,תקציב!$D$22:$K$177,7,FALSE),0)-S257</f>
        <v>0</v>
      </c>
      <c r="Y257" s="81"/>
    </row>
    <row r="258" spans="2:25" ht="15" customHeight="1" x14ac:dyDescent="0.2">
      <c r="B258" s="32" t="str">
        <f t="shared" ref="B258:B261" si="47">G258</f>
        <v>ימים</v>
      </c>
      <c r="C258" s="45" t="str">
        <f>'מק"ט'!$C$3&amp;VLOOKUP(G258,'מק"ט'!$D$2:$E$9,2,FALSE)&amp;VLOOKUP(E258,'מק"ט'!$F$2:$G$9,2,FALSE)&amp;D258</f>
        <v>76120210</v>
      </c>
      <c r="D258" s="60" t="s">
        <v>462</v>
      </c>
      <c r="E258" s="187" t="s">
        <v>200</v>
      </c>
      <c r="F258" s="195" t="s">
        <v>256</v>
      </c>
      <c r="G258" s="55" t="s">
        <v>21</v>
      </c>
      <c r="H258" s="188"/>
      <c r="I258" s="188"/>
      <c r="J258" s="188"/>
      <c r="K258" s="189"/>
      <c r="L258" s="227">
        <f t="shared" si="35"/>
        <v>255</v>
      </c>
      <c r="O258" s="42"/>
      <c r="P258" s="43"/>
      <c r="Q258" s="43"/>
      <c r="R258" s="43"/>
      <c r="S258" s="44"/>
      <c r="T258" s="186"/>
      <c r="Y258" s="81"/>
    </row>
    <row r="259" spans="2:25" ht="15" customHeight="1" x14ac:dyDescent="0.2">
      <c r="B259" s="32" t="str">
        <f t="shared" si="47"/>
        <v>שבועות</v>
      </c>
      <c r="C259" s="45" t="str">
        <f>'מק"ט'!$C$3&amp;VLOOKUP(G259,'מק"ט'!$D$2:$E$9,2,FALSE)&amp;VLOOKUP(E259,'מק"ט'!$F$2:$G$9,2,FALSE)&amp;D259</f>
        <v>76130211</v>
      </c>
      <c r="D259" s="60" t="s">
        <v>463</v>
      </c>
      <c r="E259" s="187" t="s">
        <v>200</v>
      </c>
      <c r="F259" s="195" t="s">
        <v>256</v>
      </c>
      <c r="G259" s="55" t="s">
        <v>26</v>
      </c>
      <c r="H259" s="188"/>
      <c r="I259" s="188"/>
      <c r="J259" s="188"/>
      <c r="K259" s="189"/>
      <c r="L259" s="227">
        <f t="shared" si="35"/>
        <v>255</v>
      </c>
      <c r="O259" s="42"/>
      <c r="P259" s="43"/>
      <c r="Q259" s="43"/>
      <c r="R259" s="43"/>
      <c r="S259" s="44"/>
      <c r="T259" s="186"/>
      <c r="Y259" s="81"/>
    </row>
    <row r="260" spans="2:25" ht="15" customHeight="1" x14ac:dyDescent="0.2">
      <c r="B260" s="32" t="str">
        <f t="shared" si="47"/>
        <v>חודשים</v>
      </c>
      <c r="C260" s="45" t="str">
        <f>'מק"ט'!$C$3&amp;VLOOKUP(G260,'מק"ט'!$D$2:$E$9,2,FALSE)&amp;VLOOKUP(E260,'מק"ט'!$F$2:$G$9,2,FALSE)&amp;D260</f>
        <v>76140212</v>
      </c>
      <c r="D260" s="60" t="s">
        <v>464</v>
      </c>
      <c r="E260" s="187" t="s">
        <v>200</v>
      </c>
      <c r="F260" s="195" t="s">
        <v>256</v>
      </c>
      <c r="G260" s="55" t="s">
        <v>24</v>
      </c>
      <c r="H260" s="188"/>
      <c r="I260" s="188"/>
      <c r="J260" s="188"/>
      <c r="K260" s="189"/>
      <c r="L260" s="227">
        <f t="shared" si="35"/>
        <v>255</v>
      </c>
      <c r="O260" s="42"/>
      <c r="P260" s="43"/>
      <c r="Q260" s="43"/>
      <c r="R260" s="43"/>
      <c r="S260" s="44"/>
      <c r="T260" s="186"/>
      <c r="Y260" s="81"/>
    </row>
    <row r="261" spans="2:25" ht="15" customHeight="1" x14ac:dyDescent="0.2">
      <c r="B261" s="32" t="str">
        <f t="shared" si="47"/>
        <v>עונתי גלובלי</v>
      </c>
      <c r="C261" s="45" t="str">
        <f>'מק"ט'!$C$3&amp;VLOOKUP(G261,'מק"ט'!$D$2:$E$9,2,FALSE)&amp;VLOOKUP(E261,'מק"ט'!$F$2:$G$9,2,FALSE)&amp;D261</f>
        <v>76150213</v>
      </c>
      <c r="D261" s="60" t="s">
        <v>467</v>
      </c>
      <c r="E261" s="187" t="s">
        <v>200</v>
      </c>
      <c r="F261" s="195" t="s">
        <v>256</v>
      </c>
      <c r="G261" s="55" t="s">
        <v>23</v>
      </c>
      <c r="H261" s="188"/>
      <c r="I261" s="188"/>
      <c r="J261" s="188"/>
      <c r="K261" s="189"/>
      <c r="L261" s="227">
        <f t="shared" si="35"/>
        <v>255</v>
      </c>
      <c r="O261" s="42"/>
      <c r="P261" s="43"/>
      <c r="Q261" s="43"/>
      <c r="R261" s="43"/>
      <c r="S261" s="44"/>
      <c r="T261" s="186"/>
      <c r="Y261" s="81"/>
    </row>
    <row r="262" spans="2:25" ht="15" customHeight="1" x14ac:dyDescent="0.2">
      <c r="B262" s="228" t="str">
        <f t="shared" si="0"/>
        <v>תכניות/פרקים</v>
      </c>
      <c r="C262" s="45" t="str">
        <f>'מק"ט'!$C$3&amp;VLOOKUP(G262,'מק"ט'!$D$2:$E$9,2,FALSE)&amp;VLOOKUP(E262,'מק"ט'!$F$2:$G$9,2,FALSE)&amp;D262</f>
        <v>76110210</v>
      </c>
      <c r="D262" s="95">
        <v>10</v>
      </c>
      <c r="E262" s="73" t="s">
        <v>200</v>
      </c>
      <c r="F262" s="92" t="s">
        <v>257</v>
      </c>
      <c r="G262" s="55" t="s">
        <v>25</v>
      </c>
      <c r="H262" s="75"/>
      <c r="I262" s="75"/>
      <c r="J262" s="75"/>
      <c r="K262" s="67"/>
      <c r="L262" s="227">
        <f t="shared" si="35"/>
        <v>260</v>
      </c>
      <c r="O262" s="42">
        <f>IFERROR(VLOOKUP(C262,תקציב!$D$22:$J$177,6,0),0)</f>
        <v>0</v>
      </c>
      <c r="P262" s="43">
        <f>IFERROR(VLOOKUP(C262,תקציב!$D$22:$J$177,5,0),0)</f>
        <v>0</v>
      </c>
      <c r="Q262" s="43">
        <f>IF(ISNUMBER(VLOOKUP(C262,תקציב!$D$22:$J$177,3,FALSE)),VLOOKUP(C262,תקציב!$D$22:$J$177,3,FALSE),1)</f>
        <v>1</v>
      </c>
      <c r="R262" s="43">
        <f t="shared" si="43"/>
        <v>0</v>
      </c>
      <c r="S262" s="44">
        <f t="shared" si="44"/>
        <v>0</v>
      </c>
      <c r="T262" s="186">
        <f>IFERROR(VLOOKUP(C262,תקציב!$D$22:$K$177,7,FALSE),0)-S262</f>
        <v>0</v>
      </c>
      <c r="Y262" s="81"/>
    </row>
    <row r="263" spans="2:25" ht="15" customHeight="1" thickBot="1" x14ac:dyDescent="0.25">
      <c r="B263" s="228" t="str">
        <f t="shared" si="0"/>
        <v>ימים</v>
      </c>
      <c r="C263" s="45" t="str">
        <f>'מק"ט'!$C$3&amp;VLOOKUP(G263,'מק"ט'!$D$2:$E$9,2,FALSE)&amp;VLOOKUP(E263,'מק"ט'!$F$2:$G$9,2,FALSE)&amp;D263</f>
        <v>76120210</v>
      </c>
      <c r="D263" s="45">
        <v>10</v>
      </c>
      <c r="E263" s="73" t="s">
        <v>200</v>
      </c>
      <c r="F263" s="92" t="s">
        <v>257</v>
      </c>
      <c r="G263" s="55" t="s">
        <v>21</v>
      </c>
      <c r="H263" s="194"/>
      <c r="I263" s="194"/>
      <c r="J263" s="194"/>
      <c r="K263" s="204"/>
      <c r="L263" s="227">
        <f t="shared" si="35"/>
        <v>260</v>
      </c>
      <c r="O263" s="42">
        <f>IFERROR(VLOOKUP(C263,תקציב!$D$22:$J$177,6,0),0)</f>
        <v>0</v>
      </c>
      <c r="P263" s="43">
        <f>IFERROR(VLOOKUP(C263,תקציב!$D$22:$J$177,5,0),0)</f>
        <v>0</v>
      </c>
      <c r="Q263" s="43">
        <f>IF(ISNUMBER(VLOOKUP(C263,תקציב!$D$22:$J$177,3,FALSE)),VLOOKUP(C263,תקציב!$D$22:$J$177,3,FALSE),1)</f>
        <v>1</v>
      </c>
      <c r="R263" s="43">
        <f t="shared" si="43"/>
        <v>0</v>
      </c>
      <c r="S263" s="44">
        <f t="shared" si="44"/>
        <v>0</v>
      </c>
      <c r="T263" s="186">
        <f>IFERROR(VLOOKUP(C263,תקציב!$D$22:$K$177,7,FALSE),0)-S263</f>
        <v>0</v>
      </c>
      <c r="Y263" s="81"/>
    </row>
    <row r="264" spans="2:25" ht="15" customHeight="1" x14ac:dyDescent="0.2">
      <c r="B264" s="228" t="str">
        <f t="shared" ref="B264:B266" si="48">G264</f>
        <v>שבועות</v>
      </c>
      <c r="C264" s="45" t="str">
        <f>'מק"ט'!$C$3&amp;VLOOKUP(G264,'מק"ט'!$D$2:$E$9,2,FALSE)&amp;VLOOKUP(E264,'מק"ט'!$F$2:$G$9,2,FALSE)&amp;D264</f>
        <v>76130210</v>
      </c>
      <c r="D264" s="95">
        <v>10</v>
      </c>
      <c r="E264" s="73" t="s">
        <v>200</v>
      </c>
      <c r="F264" s="92" t="s">
        <v>257</v>
      </c>
      <c r="G264" s="55" t="s">
        <v>26</v>
      </c>
      <c r="H264" s="75"/>
      <c r="I264" s="75"/>
      <c r="J264" s="75"/>
      <c r="K264" s="67"/>
      <c r="L264" s="227">
        <f t="shared" si="35"/>
        <v>260</v>
      </c>
      <c r="O264" s="42"/>
      <c r="P264" s="43"/>
      <c r="Q264" s="43"/>
      <c r="R264" s="43"/>
      <c r="S264" s="44"/>
      <c r="T264" s="186"/>
      <c r="Y264" s="81"/>
    </row>
    <row r="265" spans="2:25" ht="15" customHeight="1" x14ac:dyDescent="0.2">
      <c r="B265" s="228" t="str">
        <f t="shared" si="48"/>
        <v>חודשים</v>
      </c>
      <c r="C265" s="45" t="str">
        <f>'מק"ט'!$C$3&amp;VLOOKUP(G265,'מק"ט'!$D$2:$E$9,2,FALSE)&amp;VLOOKUP(E265,'מק"ט'!$F$2:$G$9,2,FALSE)&amp;D265</f>
        <v>76140210</v>
      </c>
      <c r="D265" s="45">
        <v>10</v>
      </c>
      <c r="E265" s="73" t="s">
        <v>200</v>
      </c>
      <c r="F265" s="92" t="s">
        <v>257</v>
      </c>
      <c r="G265" s="55" t="s">
        <v>24</v>
      </c>
      <c r="H265" s="75"/>
      <c r="I265" s="75"/>
      <c r="J265" s="75"/>
      <c r="K265" s="67"/>
      <c r="L265" s="227">
        <f t="shared" si="35"/>
        <v>260</v>
      </c>
      <c r="O265" s="42"/>
      <c r="P265" s="43"/>
      <c r="Q265" s="43"/>
      <c r="R265" s="43"/>
      <c r="S265" s="44"/>
      <c r="T265" s="186"/>
      <c r="Y265" s="81"/>
    </row>
    <row r="266" spans="2:25" ht="15" customHeight="1" x14ac:dyDescent="0.2">
      <c r="B266" s="228" t="str">
        <f t="shared" si="48"/>
        <v>עונתי גלובלי</v>
      </c>
      <c r="C266" s="45" t="str">
        <f>'מק"ט'!$C$3&amp;VLOOKUP(G266,'מק"ט'!$D$2:$E$9,2,FALSE)&amp;VLOOKUP(E266,'מק"ט'!$F$2:$G$9,2,FALSE)&amp;D266</f>
        <v>76150210</v>
      </c>
      <c r="D266" s="95">
        <v>10</v>
      </c>
      <c r="E266" s="73" t="s">
        <v>200</v>
      </c>
      <c r="F266" s="92" t="s">
        <v>257</v>
      </c>
      <c r="G266" s="55" t="s">
        <v>23</v>
      </c>
      <c r="H266" s="75"/>
      <c r="I266" s="75"/>
      <c r="J266" s="75"/>
      <c r="K266" s="67"/>
      <c r="L266" s="227">
        <f t="shared" si="35"/>
        <v>260</v>
      </c>
      <c r="O266" s="42"/>
      <c r="P266" s="43"/>
      <c r="Q266" s="43"/>
      <c r="R266" s="43"/>
      <c r="S266" s="44"/>
      <c r="T266" s="186"/>
      <c r="Y266" s="81"/>
    </row>
    <row r="267" spans="2:25" ht="15" customHeight="1" x14ac:dyDescent="0.2">
      <c r="B267" s="228" t="str">
        <f t="shared" ref="B267:B271" si="49">G267</f>
        <v>תכניות/פרקים</v>
      </c>
      <c r="C267" s="45" t="str">
        <f>'מק"ט'!$C$3&amp;VLOOKUP(G267,'מק"ט'!$D$2:$E$9,2,FALSE)&amp;VLOOKUP(E267,'מק"ט'!$F$2:$G$9,2,FALSE)&amp;D267</f>
        <v>76110500</v>
      </c>
      <c r="D267" s="58" t="s">
        <v>174</v>
      </c>
      <c r="E267" s="91" t="s">
        <v>173</v>
      </c>
      <c r="F267" s="92" t="s">
        <v>215</v>
      </c>
      <c r="G267" s="55" t="s">
        <v>25</v>
      </c>
      <c r="H267" s="75"/>
      <c r="I267" s="75"/>
      <c r="J267" s="75"/>
      <c r="K267" s="67"/>
      <c r="L267" s="227">
        <f t="shared" si="35"/>
        <v>265</v>
      </c>
      <c r="O267" s="42"/>
      <c r="P267" s="43"/>
      <c r="Q267" s="43"/>
      <c r="R267" s="43"/>
      <c r="S267" s="44"/>
      <c r="T267" s="186"/>
      <c r="Y267" s="81"/>
    </row>
    <row r="268" spans="2:25" ht="15" customHeight="1" x14ac:dyDescent="0.2">
      <c r="B268" s="228" t="str">
        <f t="shared" si="49"/>
        <v>ימים</v>
      </c>
      <c r="C268" s="45" t="str">
        <f>'מק"ט'!$C$3&amp;VLOOKUP(G268,'מק"ט'!$D$2:$E$9,2,FALSE)&amp;VLOOKUP(E268,'מק"ט'!$F$2:$G$9,2,FALSE)&amp;D268</f>
        <v>76120500</v>
      </c>
      <c r="D268" s="58" t="s">
        <v>174</v>
      </c>
      <c r="E268" s="91" t="s">
        <v>173</v>
      </c>
      <c r="F268" s="92" t="s">
        <v>215</v>
      </c>
      <c r="G268" s="55" t="s">
        <v>21</v>
      </c>
      <c r="H268" s="75"/>
      <c r="I268" s="75"/>
      <c r="J268" s="75"/>
      <c r="K268" s="67"/>
      <c r="L268" s="227">
        <f t="shared" si="35"/>
        <v>265</v>
      </c>
      <c r="O268" s="42"/>
      <c r="P268" s="43"/>
      <c r="Q268" s="43"/>
      <c r="R268" s="43"/>
      <c r="S268" s="44"/>
      <c r="T268" s="186"/>
      <c r="Y268" s="81"/>
    </row>
    <row r="269" spans="2:25" ht="15" customHeight="1" x14ac:dyDescent="0.2">
      <c r="B269" s="228" t="str">
        <f t="shared" si="49"/>
        <v>שבועות</v>
      </c>
      <c r="C269" s="45" t="str">
        <f>'מק"ט'!$C$3&amp;VLOOKUP(G269,'מק"ט'!$D$2:$E$9,2,FALSE)&amp;VLOOKUP(E269,'מק"ט'!$F$2:$G$9,2,FALSE)&amp;D269</f>
        <v>76130500</v>
      </c>
      <c r="D269" s="58" t="s">
        <v>174</v>
      </c>
      <c r="E269" s="91" t="s">
        <v>173</v>
      </c>
      <c r="F269" s="92" t="s">
        <v>215</v>
      </c>
      <c r="G269" s="55" t="s">
        <v>26</v>
      </c>
      <c r="H269" s="75"/>
      <c r="I269" s="75"/>
      <c r="J269" s="75"/>
      <c r="K269" s="67"/>
      <c r="L269" s="227">
        <f t="shared" si="35"/>
        <v>265</v>
      </c>
      <c r="O269" s="42"/>
      <c r="P269" s="43"/>
      <c r="Q269" s="43"/>
      <c r="R269" s="43"/>
      <c r="S269" s="44"/>
      <c r="T269" s="186"/>
      <c r="Y269" s="81"/>
    </row>
    <row r="270" spans="2:25" ht="15" customHeight="1" x14ac:dyDescent="0.2">
      <c r="B270" s="228" t="str">
        <f t="shared" si="49"/>
        <v>חודשים</v>
      </c>
      <c r="C270" s="45" t="str">
        <f>'מק"ט'!$C$3&amp;VLOOKUP(G270,'מק"ט'!$D$2:$E$9,2,FALSE)&amp;VLOOKUP(E270,'מק"ט'!$F$2:$G$9,2,FALSE)&amp;D270</f>
        <v>76140500</v>
      </c>
      <c r="D270" s="58" t="s">
        <v>174</v>
      </c>
      <c r="E270" s="91" t="s">
        <v>173</v>
      </c>
      <c r="F270" s="92" t="s">
        <v>215</v>
      </c>
      <c r="G270" s="55" t="s">
        <v>24</v>
      </c>
      <c r="H270" s="75"/>
      <c r="I270" s="75"/>
      <c r="J270" s="75"/>
      <c r="K270" s="67"/>
      <c r="L270" s="227">
        <f t="shared" si="35"/>
        <v>265</v>
      </c>
      <c r="O270" s="42"/>
      <c r="P270" s="43"/>
      <c r="Q270" s="43"/>
      <c r="R270" s="43"/>
      <c r="S270" s="44"/>
      <c r="T270" s="186"/>
      <c r="Y270" s="81"/>
    </row>
    <row r="271" spans="2:25" ht="15" customHeight="1" x14ac:dyDescent="0.2">
      <c r="B271" s="228" t="str">
        <f t="shared" si="49"/>
        <v>עונתי גלובלי</v>
      </c>
      <c r="C271" s="45" t="str">
        <f>'מק"ט'!$C$3&amp;VLOOKUP(G271,'מק"ט'!$D$2:$E$9,2,FALSE)&amp;VLOOKUP(E271,'מק"ט'!$F$2:$G$9,2,FALSE)&amp;D271</f>
        <v>76150500</v>
      </c>
      <c r="D271" s="58" t="s">
        <v>174</v>
      </c>
      <c r="E271" s="91" t="s">
        <v>173</v>
      </c>
      <c r="F271" s="92" t="s">
        <v>215</v>
      </c>
      <c r="G271" s="55" t="s">
        <v>23</v>
      </c>
      <c r="H271" s="75"/>
      <c r="I271" s="75"/>
      <c r="J271" s="75"/>
      <c r="K271" s="67"/>
      <c r="L271" s="227">
        <f t="shared" si="35"/>
        <v>265</v>
      </c>
      <c r="O271" s="42"/>
      <c r="P271" s="43"/>
      <c r="Q271" s="43"/>
      <c r="R271" s="43"/>
      <c r="S271" s="44"/>
      <c r="T271" s="186"/>
      <c r="Y271" s="81"/>
    </row>
    <row r="272" spans="2:25" ht="15" customHeight="1" x14ac:dyDescent="0.2">
      <c r="B272" s="228" t="str">
        <f t="shared" ref="B272:B276" si="50">G272</f>
        <v>תכניות/פרקים</v>
      </c>
      <c r="C272" s="45" t="str">
        <f>'מק"ט'!$C$3&amp;VLOOKUP(G272,'מק"ט'!$D$2:$E$9,2,FALSE)&amp;VLOOKUP(E272,'מק"ט'!$F$2:$G$9,2,FALSE)&amp;D272</f>
        <v>76110501</v>
      </c>
      <c r="D272" s="58" t="s">
        <v>167</v>
      </c>
      <c r="E272" s="91" t="s">
        <v>173</v>
      </c>
      <c r="F272" s="92" t="s">
        <v>216</v>
      </c>
      <c r="G272" s="55" t="s">
        <v>25</v>
      </c>
      <c r="H272" s="75"/>
      <c r="I272" s="75"/>
      <c r="J272" s="75"/>
      <c r="K272" s="67"/>
      <c r="L272" s="227">
        <f t="shared" si="35"/>
        <v>270</v>
      </c>
      <c r="O272" s="42"/>
      <c r="P272" s="43"/>
      <c r="Q272" s="43"/>
      <c r="R272" s="43"/>
      <c r="S272" s="44"/>
      <c r="T272" s="186"/>
      <c r="Y272" s="81"/>
    </row>
    <row r="273" spans="2:25" ht="15" customHeight="1" x14ac:dyDescent="0.2">
      <c r="B273" s="228" t="str">
        <f t="shared" si="50"/>
        <v>ימים</v>
      </c>
      <c r="C273" s="45" t="str">
        <f>'מק"ט'!$C$3&amp;VLOOKUP(G273,'מק"ט'!$D$2:$E$9,2,FALSE)&amp;VLOOKUP(E273,'מק"ט'!$F$2:$G$9,2,FALSE)&amp;D273</f>
        <v>76120501</v>
      </c>
      <c r="D273" s="58" t="s">
        <v>167</v>
      </c>
      <c r="E273" s="91" t="s">
        <v>173</v>
      </c>
      <c r="F273" s="92" t="s">
        <v>216</v>
      </c>
      <c r="G273" s="55" t="s">
        <v>21</v>
      </c>
      <c r="H273" s="75"/>
      <c r="I273" s="75"/>
      <c r="J273" s="75"/>
      <c r="K273" s="67"/>
      <c r="L273" s="227">
        <f t="shared" si="35"/>
        <v>270</v>
      </c>
      <c r="O273" s="42"/>
      <c r="P273" s="43"/>
      <c r="Q273" s="43"/>
      <c r="R273" s="43"/>
      <c r="S273" s="44"/>
      <c r="T273" s="186"/>
      <c r="Y273" s="81"/>
    </row>
    <row r="274" spans="2:25" ht="15" customHeight="1" x14ac:dyDescent="0.2">
      <c r="B274" s="228" t="str">
        <f t="shared" si="50"/>
        <v>שבועות</v>
      </c>
      <c r="C274" s="45" t="str">
        <f>'מק"ט'!$C$3&amp;VLOOKUP(G274,'מק"ט'!$D$2:$E$9,2,FALSE)&amp;VLOOKUP(E274,'מק"ט'!$F$2:$G$9,2,FALSE)&amp;D274</f>
        <v>76130501</v>
      </c>
      <c r="D274" s="58" t="s">
        <v>167</v>
      </c>
      <c r="E274" s="91" t="s">
        <v>173</v>
      </c>
      <c r="F274" s="92" t="s">
        <v>216</v>
      </c>
      <c r="G274" s="55" t="s">
        <v>26</v>
      </c>
      <c r="H274" s="75"/>
      <c r="I274" s="75"/>
      <c r="J274" s="75"/>
      <c r="K274" s="67"/>
      <c r="L274" s="227">
        <f t="shared" si="35"/>
        <v>270</v>
      </c>
      <c r="O274" s="42"/>
      <c r="P274" s="43"/>
      <c r="Q274" s="43"/>
      <c r="R274" s="43"/>
      <c r="S274" s="44"/>
      <c r="T274" s="186"/>
      <c r="Y274" s="81"/>
    </row>
    <row r="275" spans="2:25" ht="15" customHeight="1" x14ac:dyDescent="0.2">
      <c r="B275" s="228" t="str">
        <f t="shared" si="50"/>
        <v>חודשים</v>
      </c>
      <c r="C275" s="45" t="str">
        <f>'מק"ט'!$C$3&amp;VLOOKUP(G275,'מק"ט'!$D$2:$E$9,2,FALSE)&amp;VLOOKUP(E275,'מק"ט'!$F$2:$G$9,2,FALSE)&amp;D275</f>
        <v>76140501</v>
      </c>
      <c r="D275" s="58" t="s">
        <v>167</v>
      </c>
      <c r="E275" s="91" t="s">
        <v>173</v>
      </c>
      <c r="F275" s="92" t="s">
        <v>216</v>
      </c>
      <c r="G275" s="55" t="s">
        <v>24</v>
      </c>
      <c r="H275" s="75"/>
      <c r="I275" s="75"/>
      <c r="J275" s="75"/>
      <c r="K275" s="67"/>
      <c r="L275" s="227">
        <f t="shared" si="35"/>
        <v>270</v>
      </c>
      <c r="O275" s="42"/>
      <c r="P275" s="43"/>
      <c r="Q275" s="43"/>
      <c r="R275" s="43"/>
      <c r="S275" s="44"/>
      <c r="T275" s="186"/>
      <c r="Y275" s="81"/>
    </row>
    <row r="276" spans="2:25" ht="15" customHeight="1" x14ac:dyDescent="0.2">
      <c r="B276" s="228" t="str">
        <f t="shared" si="50"/>
        <v>עונתי גלובלי</v>
      </c>
      <c r="C276" s="45" t="str">
        <f>'מק"ט'!$C$3&amp;VLOOKUP(G276,'מק"ט'!$D$2:$E$9,2,FALSE)&amp;VLOOKUP(E276,'מק"ט'!$F$2:$G$9,2,FALSE)&amp;D276</f>
        <v>76150501</v>
      </c>
      <c r="D276" s="58" t="s">
        <v>167</v>
      </c>
      <c r="E276" s="91" t="s">
        <v>173</v>
      </c>
      <c r="F276" s="92" t="s">
        <v>216</v>
      </c>
      <c r="G276" s="55" t="s">
        <v>23</v>
      </c>
      <c r="H276" s="75"/>
      <c r="I276" s="75"/>
      <c r="J276" s="75"/>
      <c r="K276" s="67"/>
      <c r="L276" s="227">
        <f t="shared" si="35"/>
        <v>270</v>
      </c>
      <c r="O276" s="42"/>
      <c r="P276" s="43"/>
      <c r="Q276" s="43"/>
      <c r="R276" s="43"/>
      <c r="S276" s="44"/>
      <c r="T276" s="186"/>
      <c r="Y276" s="81"/>
    </row>
    <row r="277" spans="2:25" ht="15" customHeight="1" x14ac:dyDescent="0.2">
      <c r="B277" s="228" t="str">
        <f t="shared" ref="B277:B281" si="51">G277</f>
        <v>תכניות/פרקים</v>
      </c>
      <c r="C277" s="45" t="str">
        <f>'מק"ט'!$C$3&amp;VLOOKUP(G277,'מק"ט'!$D$2:$E$9,2,FALSE)&amp;VLOOKUP(E277,'מק"ט'!$F$2:$G$9,2,FALSE)&amp;D277</f>
        <v>76110504</v>
      </c>
      <c r="D277" s="58" t="s">
        <v>165</v>
      </c>
      <c r="E277" s="91" t="s">
        <v>173</v>
      </c>
      <c r="F277" s="92" t="s">
        <v>219</v>
      </c>
      <c r="G277" s="55" t="s">
        <v>25</v>
      </c>
      <c r="H277" s="75"/>
      <c r="I277" s="75"/>
      <c r="J277" s="75"/>
      <c r="K277" s="67"/>
      <c r="L277" s="227">
        <f t="shared" si="35"/>
        <v>275</v>
      </c>
      <c r="O277" s="42"/>
      <c r="P277" s="43"/>
      <c r="Q277" s="43"/>
      <c r="R277" s="43"/>
      <c r="S277" s="44"/>
      <c r="T277" s="186"/>
      <c r="Y277" s="81"/>
    </row>
    <row r="278" spans="2:25" ht="15" customHeight="1" x14ac:dyDescent="0.2">
      <c r="B278" s="228" t="str">
        <f t="shared" si="51"/>
        <v>ימים</v>
      </c>
      <c r="C278" s="45" t="str">
        <f>'מק"ט'!$C$3&amp;VLOOKUP(G278,'מק"ט'!$D$2:$E$9,2,FALSE)&amp;VLOOKUP(E278,'מק"ט'!$F$2:$G$9,2,FALSE)&amp;D278</f>
        <v>76120504</v>
      </c>
      <c r="D278" s="58" t="s">
        <v>165</v>
      </c>
      <c r="E278" s="91" t="s">
        <v>173</v>
      </c>
      <c r="F278" s="92" t="s">
        <v>219</v>
      </c>
      <c r="G278" s="55" t="s">
        <v>21</v>
      </c>
      <c r="H278" s="75"/>
      <c r="I278" s="75"/>
      <c r="J278" s="75"/>
      <c r="K278" s="67"/>
      <c r="L278" s="227">
        <f t="shared" si="35"/>
        <v>275</v>
      </c>
      <c r="O278" s="42"/>
      <c r="P278" s="43"/>
      <c r="Q278" s="43"/>
      <c r="R278" s="43"/>
      <c r="S278" s="44"/>
      <c r="T278" s="186"/>
      <c r="Y278" s="81"/>
    </row>
    <row r="279" spans="2:25" ht="15" customHeight="1" x14ac:dyDescent="0.2">
      <c r="B279" s="228" t="str">
        <f t="shared" si="51"/>
        <v>שבועות</v>
      </c>
      <c r="C279" s="45" t="str">
        <f>'מק"ט'!$C$3&amp;VLOOKUP(G279,'מק"ט'!$D$2:$E$9,2,FALSE)&amp;VLOOKUP(E279,'מק"ט'!$F$2:$G$9,2,FALSE)&amp;D279</f>
        <v>76130504</v>
      </c>
      <c r="D279" s="58" t="s">
        <v>165</v>
      </c>
      <c r="E279" s="91" t="s">
        <v>173</v>
      </c>
      <c r="F279" s="92" t="s">
        <v>219</v>
      </c>
      <c r="G279" s="55" t="s">
        <v>26</v>
      </c>
      <c r="H279" s="75"/>
      <c r="I279" s="75"/>
      <c r="J279" s="75"/>
      <c r="K279" s="67"/>
      <c r="L279" s="227">
        <f t="shared" si="35"/>
        <v>275</v>
      </c>
      <c r="O279" s="42"/>
      <c r="P279" s="43"/>
      <c r="Q279" s="43"/>
      <c r="R279" s="43"/>
      <c r="S279" s="44"/>
      <c r="T279" s="186"/>
      <c r="Y279" s="81"/>
    </row>
    <row r="280" spans="2:25" ht="15" customHeight="1" x14ac:dyDescent="0.2">
      <c r="B280" s="228" t="str">
        <f t="shared" si="51"/>
        <v>חודשים</v>
      </c>
      <c r="C280" s="45" t="str">
        <f>'מק"ט'!$C$3&amp;VLOOKUP(G280,'מק"ט'!$D$2:$E$9,2,FALSE)&amp;VLOOKUP(E280,'מק"ט'!$F$2:$G$9,2,FALSE)&amp;D280</f>
        <v>76140504</v>
      </c>
      <c r="D280" s="58" t="s">
        <v>165</v>
      </c>
      <c r="E280" s="91" t="s">
        <v>173</v>
      </c>
      <c r="F280" s="92" t="s">
        <v>219</v>
      </c>
      <c r="G280" s="55" t="s">
        <v>24</v>
      </c>
      <c r="H280" s="75"/>
      <c r="I280" s="75"/>
      <c r="J280" s="75"/>
      <c r="K280" s="67"/>
      <c r="L280" s="227">
        <f t="shared" si="35"/>
        <v>275</v>
      </c>
      <c r="O280" s="42"/>
      <c r="P280" s="43"/>
      <c r="Q280" s="43"/>
      <c r="R280" s="43"/>
      <c r="S280" s="44"/>
      <c r="T280" s="186"/>
      <c r="Y280" s="81"/>
    </row>
    <row r="281" spans="2:25" ht="15" customHeight="1" x14ac:dyDescent="0.2">
      <c r="B281" s="228" t="str">
        <f t="shared" si="51"/>
        <v>עונתי גלובלי</v>
      </c>
      <c r="C281" s="45" t="str">
        <f>'מק"ט'!$C$3&amp;VLOOKUP(G281,'מק"ט'!$D$2:$E$9,2,FALSE)&amp;VLOOKUP(E281,'מק"ט'!$F$2:$G$9,2,FALSE)&amp;D281</f>
        <v>76150504</v>
      </c>
      <c r="D281" s="58" t="s">
        <v>165</v>
      </c>
      <c r="E281" s="91" t="s">
        <v>173</v>
      </c>
      <c r="F281" s="92" t="s">
        <v>219</v>
      </c>
      <c r="G281" s="55" t="s">
        <v>23</v>
      </c>
      <c r="H281" s="75"/>
      <c r="I281" s="75"/>
      <c r="J281" s="75"/>
      <c r="K281" s="67"/>
      <c r="L281" s="227">
        <f t="shared" si="35"/>
        <v>275</v>
      </c>
      <c r="O281" s="42"/>
      <c r="P281" s="43"/>
      <c r="Q281" s="43"/>
      <c r="R281" s="43"/>
      <c r="S281" s="44"/>
      <c r="T281" s="186"/>
      <c r="Y281" s="81"/>
    </row>
    <row r="282" spans="2:25" ht="15" customHeight="1" x14ac:dyDescent="0.2">
      <c r="B282" s="228" t="str">
        <f t="shared" ref="B282:B286" si="52">G282</f>
        <v>תכניות/פרקים</v>
      </c>
      <c r="C282" s="45" t="str">
        <f>'מק"ט'!$C$3&amp;VLOOKUP(G282,'מק"ט'!$D$2:$E$9,2,FALSE)&amp;VLOOKUP(E282,'מק"ט'!$F$2:$G$9,2,FALSE)&amp;D282</f>
        <v>76110505</v>
      </c>
      <c r="D282" s="58" t="s">
        <v>169</v>
      </c>
      <c r="E282" s="91" t="s">
        <v>173</v>
      </c>
      <c r="F282" s="92" t="s">
        <v>220</v>
      </c>
      <c r="G282" s="55" t="s">
        <v>25</v>
      </c>
      <c r="H282" s="75"/>
      <c r="I282" s="75"/>
      <c r="J282" s="75"/>
      <c r="K282" s="67"/>
      <c r="L282" s="227">
        <f t="shared" si="35"/>
        <v>280</v>
      </c>
      <c r="O282" s="42"/>
      <c r="P282" s="43"/>
      <c r="Q282" s="43"/>
      <c r="R282" s="43"/>
      <c r="S282" s="44"/>
      <c r="T282" s="186"/>
      <c r="Y282" s="81"/>
    </row>
    <row r="283" spans="2:25" ht="15" customHeight="1" x14ac:dyDescent="0.2">
      <c r="B283" s="228" t="str">
        <f t="shared" si="52"/>
        <v>ימים</v>
      </c>
      <c r="C283" s="45" t="str">
        <f>'מק"ט'!$C$3&amp;VLOOKUP(G283,'מק"ט'!$D$2:$E$9,2,FALSE)&amp;VLOOKUP(E283,'מק"ט'!$F$2:$G$9,2,FALSE)&amp;D283</f>
        <v>76120505</v>
      </c>
      <c r="D283" s="58" t="s">
        <v>169</v>
      </c>
      <c r="E283" s="91" t="s">
        <v>173</v>
      </c>
      <c r="F283" s="92" t="s">
        <v>220</v>
      </c>
      <c r="G283" s="55" t="s">
        <v>21</v>
      </c>
      <c r="H283" s="75"/>
      <c r="I283" s="75"/>
      <c r="J283" s="75"/>
      <c r="K283" s="67"/>
      <c r="L283" s="227">
        <f t="shared" si="35"/>
        <v>280</v>
      </c>
      <c r="O283" s="42"/>
      <c r="P283" s="43"/>
      <c r="Q283" s="43"/>
      <c r="R283" s="43"/>
      <c r="S283" s="44"/>
      <c r="T283" s="186"/>
      <c r="Y283" s="81"/>
    </row>
    <row r="284" spans="2:25" ht="15" customHeight="1" x14ac:dyDescent="0.2">
      <c r="B284" s="228" t="str">
        <f t="shared" si="52"/>
        <v>שבועות</v>
      </c>
      <c r="C284" s="45" t="str">
        <f>'מק"ט'!$C$3&amp;VLOOKUP(G284,'מק"ט'!$D$2:$E$9,2,FALSE)&amp;VLOOKUP(E284,'מק"ט'!$F$2:$G$9,2,FALSE)&amp;D284</f>
        <v>76130505</v>
      </c>
      <c r="D284" s="58" t="s">
        <v>169</v>
      </c>
      <c r="E284" s="91" t="s">
        <v>173</v>
      </c>
      <c r="F284" s="92" t="s">
        <v>220</v>
      </c>
      <c r="G284" s="55" t="s">
        <v>26</v>
      </c>
      <c r="H284" s="75"/>
      <c r="I284" s="75"/>
      <c r="J284" s="75"/>
      <c r="K284" s="67"/>
      <c r="L284" s="227">
        <f t="shared" si="35"/>
        <v>280</v>
      </c>
      <c r="O284" s="42"/>
      <c r="P284" s="43"/>
      <c r="Q284" s="43"/>
      <c r="R284" s="43"/>
      <c r="S284" s="44"/>
      <c r="T284" s="186"/>
      <c r="Y284" s="81"/>
    </row>
    <row r="285" spans="2:25" ht="15" customHeight="1" x14ac:dyDescent="0.2">
      <c r="B285" s="228" t="str">
        <f t="shared" si="52"/>
        <v>חודשים</v>
      </c>
      <c r="C285" s="45" t="str">
        <f>'מק"ט'!$C$3&amp;VLOOKUP(G285,'מק"ט'!$D$2:$E$9,2,FALSE)&amp;VLOOKUP(E285,'מק"ט'!$F$2:$G$9,2,FALSE)&amp;D285</f>
        <v>76140505</v>
      </c>
      <c r="D285" s="58" t="s">
        <v>169</v>
      </c>
      <c r="E285" s="91" t="s">
        <v>173</v>
      </c>
      <c r="F285" s="92" t="s">
        <v>220</v>
      </c>
      <c r="G285" s="55" t="s">
        <v>24</v>
      </c>
      <c r="H285" s="75"/>
      <c r="I285" s="75"/>
      <c r="J285" s="75"/>
      <c r="K285" s="67"/>
      <c r="L285" s="227">
        <f t="shared" si="35"/>
        <v>280</v>
      </c>
      <c r="O285" s="42"/>
      <c r="P285" s="43"/>
      <c r="Q285" s="43"/>
      <c r="R285" s="43"/>
      <c r="S285" s="44"/>
      <c r="T285" s="186"/>
      <c r="Y285" s="81"/>
    </row>
    <row r="286" spans="2:25" ht="15" customHeight="1" x14ac:dyDescent="0.2">
      <c r="B286" s="228" t="str">
        <f t="shared" si="52"/>
        <v>עונתי גלובלי</v>
      </c>
      <c r="C286" s="45" t="str">
        <f>'מק"ט'!$C$3&amp;VLOOKUP(G286,'מק"ט'!$D$2:$E$9,2,FALSE)&amp;VLOOKUP(E286,'מק"ט'!$F$2:$G$9,2,FALSE)&amp;D286</f>
        <v>76150505</v>
      </c>
      <c r="D286" s="58" t="s">
        <v>169</v>
      </c>
      <c r="E286" s="91" t="s">
        <v>173</v>
      </c>
      <c r="F286" s="92" t="s">
        <v>220</v>
      </c>
      <c r="G286" s="55" t="s">
        <v>23</v>
      </c>
      <c r="H286" s="75"/>
      <c r="I286" s="75"/>
      <c r="J286" s="75"/>
      <c r="K286" s="67"/>
      <c r="L286" s="227">
        <f t="shared" si="35"/>
        <v>280</v>
      </c>
      <c r="O286" s="42"/>
      <c r="P286" s="43"/>
      <c r="Q286" s="43"/>
      <c r="R286" s="43"/>
      <c r="S286" s="44"/>
      <c r="T286" s="186"/>
      <c r="Y286" s="81"/>
    </row>
    <row r="287" spans="2:25" ht="15" x14ac:dyDescent="0.2">
      <c r="B287" s="32" t="str">
        <f t="shared" si="0"/>
        <v>תכניות/פרקים</v>
      </c>
      <c r="C287" s="45" t="str">
        <f>'מק"ט'!$C$3&amp;VLOOKUP(G287,'מק"ט'!$D$2:$E$9,2,FALSE)&amp;VLOOKUP(E287,'מק"ט'!$F$2:$G$9,2,FALSE)&amp;D287</f>
        <v>76110506</v>
      </c>
      <c r="D287" s="46" t="s">
        <v>170</v>
      </c>
      <c r="E287" s="91" t="s">
        <v>173</v>
      </c>
      <c r="F287" s="92" t="s">
        <v>99</v>
      </c>
      <c r="G287" s="55" t="s">
        <v>25</v>
      </c>
      <c r="H287" s="75"/>
      <c r="I287" s="75"/>
      <c r="J287" s="75"/>
      <c r="K287" s="67"/>
      <c r="L287" s="227">
        <f t="shared" si="35"/>
        <v>285</v>
      </c>
      <c r="O287" s="42">
        <f>IFERROR(VLOOKUP(C287,תקציב!$D$22:$J$177,6,0),0)</f>
        <v>0</v>
      </c>
      <c r="P287" s="43">
        <f>IFERROR(VLOOKUP(C287,תקציב!$D$22:$J$177,5,0),0)</f>
        <v>0</v>
      </c>
      <c r="Q287" s="43">
        <f>IF(ISNUMBER(VLOOKUP(C287,תקציב!$D$22:$J$177,3,FALSE)),VLOOKUP(C287,תקציב!$D$22:$J$177,3,FALSE),1)</f>
        <v>1</v>
      </c>
      <c r="R287" s="43">
        <f>IFERROR((P287*Q287),0)</f>
        <v>0</v>
      </c>
      <c r="S287" s="44">
        <f>O287*R287</f>
        <v>0</v>
      </c>
      <c r="T287" s="186">
        <f>IFERROR(VLOOKUP(C287,תקציב!$D$22:$K$177,7,FALSE),0)-S287</f>
        <v>0</v>
      </c>
    </row>
    <row r="288" spans="2:25" ht="15" x14ac:dyDescent="0.2">
      <c r="B288" s="32" t="str">
        <f t="shared" si="0"/>
        <v>ימים</v>
      </c>
      <c r="C288" s="45" t="str">
        <f>'מק"ט'!$C$3&amp;VLOOKUP(G288,'מק"ט'!$D$2:$E$9,2,FALSE)&amp;VLOOKUP(E288,'מק"ט'!$F$2:$G$9,2,FALSE)&amp;D288</f>
        <v>76120506</v>
      </c>
      <c r="D288" s="46" t="s">
        <v>170</v>
      </c>
      <c r="E288" s="91" t="s">
        <v>173</v>
      </c>
      <c r="F288" s="92" t="s">
        <v>99</v>
      </c>
      <c r="G288" s="55" t="s">
        <v>21</v>
      </c>
      <c r="H288" s="75"/>
      <c r="I288" s="75"/>
      <c r="J288" s="75"/>
      <c r="K288" s="67"/>
      <c r="L288" s="227">
        <f t="shared" si="35"/>
        <v>285</v>
      </c>
      <c r="O288" s="42">
        <f>IFERROR(VLOOKUP(C288,תקציב!$D$22:$J$177,6,0),0)</f>
        <v>0</v>
      </c>
      <c r="P288" s="43">
        <f>IFERROR(VLOOKUP(C288,תקציב!$D$22:$J$177,5,0),0)</f>
        <v>0</v>
      </c>
      <c r="Q288" s="43">
        <f>IF(ISNUMBER(VLOOKUP(C288,תקציב!$D$22:$J$177,3,FALSE)),VLOOKUP(C288,תקציב!$D$22:$J$177,3,FALSE),1)</f>
        <v>1</v>
      </c>
      <c r="R288" s="43">
        <f t="shared" ref="R288:R344" si="53">IFERROR((P288*Q288),0)</f>
        <v>0</v>
      </c>
      <c r="S288" s="44">
        <f t="shared" ref="S288:S344" si="54">O288*R288</f>
        <v>0</v>
      </c>
      <c r="T288" s="186">
        <f>IFERROR(VLOOKUP(C288,תקציב!$D$22:$K$177,7,FALSE),0)-S288</f>
        <v>0</v>
      </c>
    </row>
    <row r="289" spans="2:20" ht="15" x14ac:dyDescent="0.2">
      <c r="B289" s="32" t="str">
        <f t="shared" si="0"/>
        <v>שבועות</v>
      </c>
      <c r="C289" s="45" t="str">
        <f>'מק"ט'!$C$3&amp;VLOOKUP(G289,'מק"ט'!$D$2:$E$9,2,FALSE)&amp;VLOOKUP(E289,'מק"ט'!$F$2:$G$9,2,FALSE)&amp;D289</f>
        <v>76130506</v>
      </c>
      <c r="D289" s="46" t="s">
        <v>170</v>
      </c>
      <c r="E289" s="91" t="s">
        <v>173</v>
      </c>
      <c r="F289" s="92" t="s">
        <v>99</v>
      </c>
      <c r="G289" s="55" t="s">
        <v>26</v>
      </c>
      <c r="H289" s="75"/>
      <c r="I289" s="75"/>
      <c r="J289" s="75"/>
      <c r="K289" s="67"/>
      <c r="L289" s="227">
        <f t="shared" si="35"/>
        <v>285</v>
      </c>
      <c r="O289" s="42">
        <f>IFERROR(VLOOKUP(C289,תקציב!$D$22:$J$177,6,0),0)</f>
        <v>0</v>
      </c>
      <c r="P289" s="43">
        <f>IFERROR(VLOOKUP(C289,תקציב!$D$22:$J$177,5,0),0)</f>
        <v>0</v>
      </c>
      <c r="Q289" s="43">
        <f>IF(ISNUMBER(VLOOKUP(C289,תקציב!$D$22:$J$177,3,FALSE)),VLOOKUP(C289,תקציב!$D$22:$J$177,3,FALSE),1)</f>
        <v>1</v>
      </c>
      <c r="R289" s="43">
        <f t="shared" si="53"/>
        <v>0</v>
      </c>
      <c r="S289" s="44">
        <f t="shared" si="54"/>
        <v>0</v>
      </c>
      <c r="T289" s="186">
        <f>IFERROR(VLOOKUP(C289,תקציב!$D$22:$K$177,7,FALSE),0)-S289</f>
        <v>0</v>
      </c>
    </row>
    <row r="290" spans="2:20" ht="15" x14ac:dyDescent="0.2">
      <c r="B290" s="32" t="str">
        <f t="shared" ref="B290:B291" si="55">G290</f>
        <v>חודשים</v>
      </c>
      <c r="C290" s="45" t="str">
        <f>'מק"ט'!$C$3&amp;VLOOKUP(G290,'מק"ט'!$D$2:$E$9,2,FALSE)&amp;VLOOKUP(E290,'מק"ט'!$F$2:$G$9,2,FALSE)&amp;D290</f>
        <v>76140506</v>
      </c>
      <c r="D290" s="46" t="s">
        <v>170</v>
      </c>
      <c r="E290" s="91" t="s">
        <v>173</v>
      </c>
      <c r="F290" s="92" t="s">
        <v>99</v>
      </c>
      <c r="G290" s="55" t="s">
        <v>24</v>
      </c>
      <c r="H290" s="75"/>
      <c r="I290" s="75"/>
      <c r="J290" s="75"/>
      <c r="K290" s="67"/>
      <c r="L290" s="227">
        <f t="shared" si="35"/>
        <v>285</v>
      </c>
      <c r="O290" s="42"/>
      <c r="P290" s="43"/>
      <c r="Q290" s="43"/>
      <c r="R290" s="43"/>
      <c r="S290" s="44"/>
      <c r="T290" s="186"/>
    </row>
    <row r="291" spans="2:20" ht="15" x14ac:dyDescent="0.2">
      <c r="B291" s="32" t="str">
        <f t="shared" si="55"/>
        <v>עונתי גלובלי</v>
      </c>
      <c r="C291" s="45" t="str">
        <f>'מק"ט'!$C$3&amp;VLOOKUP(G291,'מק"ט'!$D$2:$E$9,2,FALSE)&amp;VLOOKUP(E291,'מק"ט'!$F$2:$G$9,2,FALSE)&amp;D291</f>
        <v>76150506</v>
      </c>
      <c r="D291" s="46" t="s">
        <v>170</v>
      </c>
      <c r="E291" s="91" t="s">
        <v>173</v>
      </c>
      <c r="F291" s="92" t="s">
        <v>99</v>
      </c>
      <c r="G291" s="55" t="s">
        <v>23</v>
      </c>
      <c r="H291" s="75"/>
      <c r="I291" s="75"/>
      <c r="J291" s="75"/>
      <c r="K291" s="67"/>
      <c r="L291" s="227">
        <f t="shared" si="35"/>
        <v>285</v>
      </c>
      <c r="O291" s="42"/>
      <c r="P291" s="43"/>
      <c r="Q291" s="43"/>
      <c r="R291" s="43"/>
      <c r="S291" s="44"/>
      <c r="T291" s="186"/>
    </row>
    <row r="292" spans="2:20" ht="15" x14ac:dyDescent="0.2">
      <c r="B292" s="32" t="str">
        <f t="shared" ref="B292:B483" si="56">G292</f>
        <v>תכניות/פרקים</v>
      </c>
      <c r="C292" s="45" t="str">
        <f>'מק"ט'!$C$3&amp;VLOOKUP(G292,'מק"ט'!$D$2:$E$9,2,FALSE)&amp;VLOOKUP(E292,'מק"ט'!$F$2:$G$9,2,FALSE)&amp;D292</f>
        <v>76110507</v>
      </c>
      <c r="D292" s="60" t="s">
        <v>172</v>
      </c>
      <c r="E292" s="93" t="s">
        <v>173</v>
      </c>
      <c r="F292" s="94" t="s">
        <v>100</v>
      </c>
      <c r="G292" s="55" t="s">
        <v>25</v>
      </c>
      <c r="H292" s="68"/>
      <c r="I292" s="68"/>
      <c r="J292" s="68"/>
      <c r="K292" s="64"/>
      <c r="L292" s="227">
        <f t="shared" si="35"/>
        <v>290</v>
      </c>
      <c r="O292" s="42">
        <f>IFERROR(VLOOKUP(C292,תקציב!$D$22:$J$177,6,0),0)</f>
        <v>0</v>
      </c>
      <c r="P292" s="43">
        <f>IFERROR(VLOOKUP(C292,תקציב!$D$22:$J$177,5,0),0)</f>
        <v>0</v>
      </c>
      <c r="Q292" s="43">
        <f>IF(ISNUMBER(VLOOKUP(C292,תקציב!$D$22:$J$177,3,FALSE)),VLOOKUP(C292,תקציב!$D$22:$J$177,3,FALSE),1)</f>
        <v>1</v>
      </c>
      <c r="R292" s="43">
        <f t="shared" si="53"/>
        <v>0</v>
      </c>
      <c r="S292" s="44">
        <f t="shared" si="54"/>
        <v>0</v>
      </c>
      <c r="T292" s="186">
        <f>IFERROR(VLOOKUP(C292,תקציב!$D$22:$K$177,7,FALSE),0)-S292</f>
        <v>0</v>
      </c>
    </row>
    <row r="293" spans="2:20" ht="15" x14ac:dyDescent="0.2">
      <c r="B293" s="32" t="str">
        <f t="shared" si="56"/>
        <v>ימים</v>
      </c>
      <c r="C293" s="45" t="str">
        <f>'מק"ט'!$C$3&amp;VLOOKUP(G293,'מק"ט'!$D$2:$E$9,2,FALSE)&amp;VLOOKUP(E293,'מק"ט'!$F$2:$G$9,2,FALSE)&amp;D293</f>
        <v>76120507</v>
      </c>
      <c r="D293" s="60" t="s">
        <v>172</v>
      </c>
      <c r="E293" s="93" t="s">
        <v>173</v>
      </c>
      <c r="F293" s="94" t="s">
        <v>100</v>
      </c>
      <c r="G293" s="55" t="s">
        <v>21</v>
      </c>
      <c r="H293" s="68"/>
      <c r="I293" s="68"/>
      <c r="J293" s="68"/>
      <c r="K293" s="64"/>
      <c r="L293" s="227">
        <f t="shared" si="35"/>
        <v>290</v>
      </c>
      <c r="O293" s="42">
        <f>IFERROR(VLOOKUP(C293,תקציב!$D$22:$J$177,6,0),0)</f>
        <v>0</v>
      </c>
      <c r="P293" s="43">
        <f>IFERROR(VLOOKUP(C293,תקציב!$D$22:$J$177,5,0),0)</f>
        <v>0</v>
      </c>
      <c r="Q293" s="43">
        <f>IF(ISNUMBER(VLOOKUP(C293,תקציב!$D$22:$J$177,3,FALSE)),VLOOKUP(C293,תקציב!$D$22:$J$177,3,FALSE),1)</f>
        <v>1</v>
      </c>
      <c r="R293" s="43">
        <f t="shared" si="53"/>
        <v>0</v>
      </c>
      <c r="S293" s="44">
        <f t="shared" si="54"/>
        <v>0</v>
      </c>
      <c r="T293" s="186">
        <f>IFERROR(VLOOKUP(C293,תקציב!$D$22:$K$177,7,FALSE),0)-S293</f>
        <v>0</v>
      </c>
    </row>
    <row r="294" spans="2:20" ht="15" x14ac:dyDescent="0.2">
      <c r="B294" s="32" t="str">
        <f t="shared" si="56"/>
        <v>שבועות</v>
      </c>
      <c r="C294" s="45" t="str">
        <f>'מק"ט'!$C$3&amp;VLOOKUP(G294,'מק"ט'!$D$2:$E$9,2,FALSE)&amp;VLOOKUP(E294,'מק"ט'!$F$2:$G$9,2,FALSE)&amp;D294</f>
        <v>76130507</v>
      </c>
      <c r="D294" s="60" t="s">
        <v>172</v>
      </c>
      <c r="E294" s="93" t="s">
        <v>173</v>
      </c>
      <c r="F294" s="94" t="s">
        <v>100</v>
      </c>
      <c r="G294" s="55" t="s">
        <v>26</v>
      </c>
      <c r="H294" s="68"/>
      <c r="I294" s="68"/>
      <c r="J294" s="68"/>
      <c r="K294" s="64"/>
      <c r="L294" s="227">
        <f t="shared" si="35"/>
        <v>290</v>
      </c>
      <c r="O294" s="42">
        <f>IFERROR(VLOOKUP(C294,תקציב!$D$22:$J$177,6,0),0)</f>
        <v>0</v>
      </c>
      <c r="P294" s="43">
        <f>IFERROR(VLOOKUP(C294,תקציב!$D$22:$J$177,5,0),0)</f>
        <v>0</v>
      </c>
      <c r="Q294" s="43">
        <f>IF(ISNUMBER(VLOOKUP(C294,תקציב!$D$22:$J$177,3,FALSE)),VLOOKUP(C294,תקציב!$D$22:$J$177,3,FALSE),1)</f>
        <v>1</v>
      </c>
      <c r="R294" s="43">
        <f t="shared" si="53"/>
        <v>0</v>
      </c>
      <c r="S294" s="44">
        <f t="shared" si="54"/>
        <v>0</v>
      </c>
      <c r="T294" s="186">
        <f>IFERROR(VLOOKUP(C294,תקציב!$D$22:$K$177,7,FALSE),0)-S294</f>
        <v>0</v>
      </c>
    </row>
    <row r="295" spans="2:20" ht="15" x14ac:dyDescent="0.2">
      <c r="B295" s="32" t="str">
        <f t="shared" ref="B295:B296" si="57">G295</f>
        <v>חודשים</v>
      </c>
      <c r="C295" s="45" t="str">
        <f>'מק"ט'!$C$3&amp;VLOOKUP(G295,'מק"ט'!$D$2:$E$9,2,FALSE)&amp;VLOOKUP(E295,'מק"ט'!$F$2:$G$9,2,FALSE)&amp;D295</f>
        <v>76140507</v>
      </c>
      <c r="D295" s="60" t="s">
        <v>172</v>
      </c>
      <c r="E295" s="93" t="s">
        <v>173</v>
      </c>
      <c r="F295" s="94" t="s">
        <v>100</v>
      </c>
      <c r="G295" s="55" t="s">
        <v>24</v>
      </c>
      <c r="H295" s="68"/>
      <c r="I295" s="68"/>
      <c r="J295" s="68"/>
      <c r="K295" s="64"/>
      <c r="L295" s="227">
        <f t="shared" si="35"/>
        <v>290</v>
      </c>
      <c r="O295" s="42"/>
      <c r="P295" s="43"/>
      <c r="Q295" s="43"/>
      <c r="R295" s="43"/>
      <c r="S295" s="44"/>
      <c r="T295" s="186"/>
    </row>
    <row r="296" spans="2:20" ht="15" x14ac:dyDescent="0.2">
      <c r="B296" s="32" t="str">
        <f t="shared" si="57"/>
        <v>עונתי גלובלי</v>
      </c>
      <c r="C296" s="45" t="str">
        <f>'מק"ט'!$C$3&amp;VLOOKUP(G296,'מק"ט'!$D$2:$E$9,2,FALSE)&amp;VLOOKUP(E296,'מק"ט'!$F$2:$G$9,2,FALSE)&amp;D296</f>
        <v>76150507</v>
      </c>
      <c r="D296" s="60" t="s">
        <v>172</v>
      </c>
      <c r="E296" s="93" t="s">
        <v>173</v>
      </c>
      <c r="F296" s="94" t="s">
        <v>100</v>
      </c>
      <c r="G296" s="55" t="s">
        <v>23</v>
      </c>
      <c r="H296" s="68"/>
      <c r="I296" s="68"/>
      <c r="J296" s="68"/>
      <c r="K296" s="64"/>
      <c r="L296" s="227">
        <f t="shared" si="35"/>
        <v>290</v>
      </c>
      <c r="O296" s="42"/>
      <c r="P296" s="43"/>
      <c r="Q296" s="43"/>
      <c r="R296" s="43"/>
      <c r="S296" s="44"/>
      <c r="T296" s="186"/>
    </row>
    <row r="297" spans="2:20" ht="15" x14ac:dyDescent="0.2">
      <c r="B297" s="32" t="str">
        <f t="shared" si="56"/>
        <v>תכניות/פרקים</v>
      </c>
      <c r="C297" s="45" t="str">
        <f>'מק"ט'!$C$3&amp;VLOOKUP(G297,'מק"ט'!$D$2:$E$9,2,FALSE)&amp;VLOOKUP(E297,'מק"ט'!$F$2:$G$9,2,FALSE)&amp;D297</f>
        <v>76110508</v>
      </c>
      <c r="D297" s="58" t="s">
        <v>166</v>
      </c>
      <c r="E297" s="91" t="s">
        <v>173</v>
      </c>
      <c r="F297" s="92" t="s">
        <v>101</v>
      </c>
      <c r="G297" s="55" t="s">
        <v>25</v>
      </c>
      <c r="H297" s="49"/>
      <c r="I297" s="49"/>
      <c r="J297" s="75"/>
      <c r="K297" s="67"/>
      <c r="L297" s="227">
        <f t="shared" si="35"/>
        <v>295</v>
      </c>
      <c r="O297" s="42">
        <f>IFERROR(VLOOKUP(C297,תקציב!$D$22:$J$177,6,0),0)</f>
        <v>0</v>
      </c>
      <c r="P297" s="43">
        <f>IFERROR(VLOOKUP(C297,תקציב!$D$22:$J$177,5,0),0)</f>
        <v>0</v>
      </c>
      <c r="Q297" s="43">
        <f>IF(ISNUMBER(VLOOKUP(C297,תקציב!$D$22:$J$177,3,FALSE)),VLOOKUP(C297,תקציב!$D$22:$J$177,3,FALSE),1)</f>
        <v>1</v>
      </c>
      <c r="R297" s="43">
        <f t="shared" si="53"/>
        <v>0</v>
      </c>
      <c r="S297" s="44">
        <f t="shared" si="54"/>
        <v>0</v>
      </c>
      <c r="T297" s="186">
        <f>IFERROR(VLOOKUP(C297,תקציב!$D$22:$K$177,7,FALSE),0)-S297</f>
        <v>0</v>
      </c>
    </row>
    <row r="298" spans="2:20" ht="15" x14ac:dyDescent="0.2">
      <c r="B298" s="32" t="str">
        <f t="shared" si="56"/>
        <v>ימים</v>
      </c>
      <c r="C298" s="45" t="str">
        <f>'מק"ט'!$C$3&amp;VLOOKUP(G298,'מק"ט'!$D$2:$E$9,2,FALSE)&amp;VLOOKUP(E298,'מק"ט'!$F$2:$G$9,2,FALSE)&amp;D298</f>
        <v>76120508</v>
      </c>
      <c r="D298" s="58" t="s">
        <v>166</v>
      </c>
      <c r="E298" s="91" t="s">
        <v>173</v>
      </c>
      <c r="F298" s="92" t="s">
        <v>101</v>
      </c>
      <c r="G298" s="55" t="s">
        <v>21</v>
      </c>
      <c r="H298" s="49"/>
      <c r="I298" s="49"/>
      <c r="J298" s="75"/>
      <c r="K298" s="67"/>
      <c r="L298" s="227">
        <f t="shared" si="35"/>
        <v>295</v>
      </c>
      <c r="O298" s="42">
        <f>IFERROR(VLOOKUP(C298,תקציב!$D$22:$J$177,6,0),0)</f>
        <v>0</v>
      </c>
      <c r="P298" s="43">
        <f>IFERROR(VLOOKUP(C298,תקציב!$D$22:$J$177,5,0),0)</f>
        <v>0</v>
      </c>
      <c r="Q298" s="43">
        <f>IF(ISNUMBER(VLOOKUP(C298,תקציב!$D$22:$J$177,3,FALSE)),VLOOKUP(C298,תקציב!$D$22:$J$177,3,FALSE),1)</f>
        <v>1</v>
      </c>
      <c r="R298" s="43">
        <f t="shared" si="53"/>
        <v>0</v>
      </c>
      <c r="S298" s="44">
        <f t="shared" si="54"/>
        <v>0</v>
      </c>
      <c r="T298" s="186">
        <f>IFERROR(VLOOKUP(C298,תקציב!$D$22:$K$177,7,FALSE),0)-S298</f>
        <v>0</v>
      </c>
    </row>
    <row r="299" spans="2:20" ht="15" x14ac:dyDescent="0.2">
      <c r="B299" s="32" t="str">
        <f t="shared" si="56"/>
        <v>שבועות</v>
      </c>
      <c r="C299" s="45" t="str">
        <f>'מק"ט'!$C$3&amp;VLOOKUP(G299,'מק"ט'!$D$2:$E$9,2,FALSE)&amp;VLOOKUP(E299,'מק"ט'!$F$2:$G$9,2,FALSE)&amp;D299</f>
        <v>76130508</v>
      </c>
      <c r="D299" s="58" t="s">
        <v>166</v>
      </c>
      <c r="E299" s="91" t="s">
        <v>173</v>
      </c>
      <c r="F299" s="92" t="s">
        <v>101</v>
      </c>
      <c r="G299" s="55" t="s">
        <v>26</v>
      </c>
      <c r="H299" s="49"/>
      <c r="I299" s="49"/>
      <c r="J299" s="75"/>
      <c r="K299" s="67"/>
      <c r="L299" s="227">
        <f t="shared" si="35"/>
        <v>295</v>
      </c>
      <c r="O299" s="42">
        <f>IFERROR(VLOOKUP(C299,תקציב!$D$22:$J$177,6,0),0)</f>
        <v>0</v>
      </c>
      <c r="P299" s="43">
        <f>IFERROR(VLOOKUP(C299,תקציב!$D$22:$J$177,5,0),0)</f>
        <v>0</v>
      </c>
      <c r="Q299" s="43">
        <f>IF(ISNUMBER(VLOOKUP(C299,תקציב!$D$22:$J$177,3,FALSE)),VLOOKUP(C299,תקציב!$D$22:$J$177,3,FALSE),1)</f>
        <v>1</v>
      </c>
      <c r="R299" s="43">
        <f t="shared" si="53"/>
        <v>0</v>
      </c>
      <c r="S299" s="44">
        <f t="shared" si="54"/>
        <v>0</v>
      </c>
      <c r="T299" s="186">
        <f>IFERROR(VLOOKUP(C299,תקציב!$D$22:$K$177,7,FALSE),0)-S299</f>
        <v>0</v>
      </c>
    </row>
    <row r="300" spans="2:20" ht="15" x14ac:dyDescent="0.2">
      <c r="B300" s="32" t="str">
        <f t="shared" ref="B300:B301" si="58">G300</f>
        <v>חודשים</v>
      </c>
      <c r="C300" s="45" t="str">
        <f>'מק"ט'!$C$3&amp;VLOOKUP(G300,'מק"ט'!$D$2:$E$9,2,FALSE)&amp;VLOOKUP(E300,'מק"ט'!$F$2:$G$9,2,FALSE)&amp;D300</f>
        <v>76140508</v>
      </c>
      <c r="D300" s="58" t="s">
        <v>166</v>
      </c>
      <c r="E300" s="91" t="s">
        <v>173</v>
      </c>
      <c r="F300" s="92" t="s">
        <v>101</v>
      </c>
      <c r="G300" s="55" t="s">
        <v>24</v>
      </c>
      <c r="H300" s="49"/>
      <c r="I300" s="49"/>
      <c r="J300" s="75"/>
      <c r="K300" s="67"/>
      <c r="L300" s="227">
        <f t="shared" si="35"/>
        <v>295</v>
      </c>
      <c r="O300" s="42"/>
      <c r="P300" s="43"/>
      <c r="Q300" s="43"/>
      <c r="R300" s="43"/>
      <c r="S300" s="44"/>
      <c r="T300" s="186"/>
    </row>
    <row r="301" spans="2:20" ht="15" x14ac:dyDescent="0.2">
      <c r="B301" s="32" t="str">
        <f t="shared" si="58"/>
        <v>עונתי גלובלי</v>
      </c>
      <c r="C301" s="45" t="str">
        <f>'מק"ט'!$C$3&amp;VLOOKUP(G301,'מק"ט'!$D$2:$E$9,2,FALSE)&amp;VLOOKUP(E301,'מק"ט'!$F$2:$G$9,2,FALSE)&amp;D301</f>
        <v>76150508</v>
      </c>
      <c r="D301" s="58" t="s">
        <v>166</v>
      </c>
      <c r="E301" s="91" t="s">
        <v>173</v>
      </c>
      <c r="F301" s="92" t="s">
        <v>101</v>
      </c>
      <c r="G301" s="55" t="s">
        <v>23</v>
      </c>
      <c r="H301" s="49"/>
      <c r="I301" s="49"/>
      <c r="J301" s="75"/>
      <c r="K301" s="67"/>
      <c r="L301" s="227">
        <f t="shared" si="35"/>
        <v>295</v>
      </c>
      <c r="O301" s="42"/>
      <c r="P301" s="43"/>
      <c r="Q301" s="43"/>
      <c r="R301" s="43"/>
      <c r="S301" s="44"/>
      <c r="T301" s="186"/>
    </row>
    <row r="302" spans="2:20" ht="15" x14ac:dyDescent="0.2">
      <c r="B302" s="32" t="str">
        <f t="shared" si="56"/>
        <v>תכניות/פרקים</v>
      </c>
      <c r="C302" s="45" t="str">
        <f>'מק"ט'!$C$3&amp;VLOOKUP(G302,'מק"ט'!$D$2:$E$9,2,FALSE)&amp;VLOOKUP(E302,'מק"ט'!$F$2:$G$9,2,FALSE)&amp;D302</f>
        <v>76110509</v>
      </c>
      <c r="D302" s="60" t="s">
        <v>161</v>
      </c>
      <c r="E302" s="93" t="s">
        <v>173</v>
      </c>
      <c r="F302" s="94" t="s">
        <v>102</v>
      </c>
      <c r="G302" s="55" t="s">
        <v>25</v>
      </c>
      <c r="H302" s="55"/>
      <c r="I302" s="55"/>
      <c r="J302" s="68"/>
      <c r="K302" s="64"/>
      <c r="L302" s="227">
        <f t="shared" si="35"/>
        <v>300</v>
      </c>
      <c r="O302" s="42">
        <f>IFERROR(VLOOKUP(C302,תקציב!$D$22:$J$177,6,0),0)</f>
        <v>0</v>
      </c>
      <c r="P302" s="43">
        <f>IFERROR(VLOOKUP(C302,תקציב!$D$22:$J$177,5,0),0)</f>
        <v>0</v>
      </c>
      <c r="Q302" s="43">
        <f>IF(ISNUMBER(VLOOKUP(C302,תקציב!$D$22:$J$177,3,FALSE)),VLOOKUP(C302,תקציב!$D$22:$J$177,3,FALSE),1)</f>
        <v>1</v>
      </c>
      <c r="R302" s="43">
        <f t="shared" si="53"/>
        <v>0</v>
      </c>
      <c r="S302" s="44">
        <f t="shared" si="54"/>
        <v>0</v>
      </c>
      <c r="T302" s="186">
        <f>IFERROR(VLOOKUP(C302,תקציב!$D$22:$K$177,7,FALSE),0)-S302</f>
        <v>0</v>
      </c>
    </row>
    <row r="303" spans="2:20" ht="15" x14ac:dyDescent="0.2">
      <c r="B303" s="32" t="str">
        <f t="shared" si="56"/>
        <v>ימים</v>
      </c>
      <c r="C303" s="45" t="str">
        <f>'מק"ט'!$C$3&amp;VLOOKUP(G303,'מק"ט'!$D$2:$E$9,2,FALSE)&amp;VLOOKUP(E303,'מק"ט'!$F$2:$G$9,2,FALSE)&amp;D303</f>
        <v>76120509</v>
      </c>
      <c r="D303" s="60" t="s">
        <v>161</v>
      </c>
      <c r="E303" s="93" t="s">
        <v>173</v>
      </c>
      <c r="F303" s="94" t="s">
        <v>102</v>
      </c>
      <c r="G303" s="55" t="s">
        <v>21</v>
      </c>
      <c r="H303" s="55"/>
      <c r="I303" s="55"/>
      <c r="J303" s="68"/>
      <c r="K303" s="64"/>
      <c r="L303" s="227">
        <f t="shared" si="35"/>
        <v>300</v>
      </c>
      <c r="O303" s="42">
        <f>IFERROR(VLOOKUP(C303,תקציב!$D$22:$J$177,6,0),0)</f>
        <v>0</v>
      </c>
      <c r="P303" s="43">
        <f>IFERROR(VLOOKUP(C303,תקציב!$D$22:$J$177,5,0),0)</f>
        <v>0</v>
      </c>
      <c r="Q303" s="43">
        <f>IF(ISNUMBER(VLOOKUP(C303,תקציב!$D$22:$J$177,3,FALSE)),VLOOKUP(C303,תקציב!$D$22:$J$177,3,FALSE),1)</f>
        <v>1</v>
      </c>
      <c r="R303" s="43">
        <f t="shared" si="53"/>
        <v>0</v>
      </c>
      <c r="S303" s="44">
        <f t="shared" si="54"/>
        <v>0</v>
      </c>
      <c r="T303" s="186">
        <f>IFERROR(VLOOKUP(C303,תקציב!$D$22:$K$177,7,FALSE),0)-S303</f>
        <v>0</v>
      </c>
    </row>
    <row r="304" spans="2:20" ht="15" x14ac:dyDescent="0.2">
      <c r="B304" s="32" t="str">
        <f t="shared" si="56"/>
        <v>שבועות</v>
      </c>
      <c r="C304" s="45" t="str">
        <f>'מק"ט'!$C$3&amp;VLOOKUP(G304,'מק"ט'!$D$2:$E$9,2,FALSE)&amp;VLOOKUP(E304,'מק"ט'!$F$2:$G$9,2,FALSE)&amp;D304</f>
        <v>76130509</v>
      </c>
      <c r="D304" s="60" t="s">
        <v>161</v>
      </c>
      <c r="E304" s="93" t="s">
        <v>173</v>
      </c>
      <c r="F304" s="94" t="s">
        <v>102</v>
      </c>
      <c r="G304" s="55" t="s">
        <v>26</v>
      </c>
      <c r="H304" s="55"/>
      <c r="I304" s="55"/>
      <c r="J304" s="68"/>
      <c r="K304" s="64"/>
      <c r="L304" s="227">
        <f t="shared" si="35"/>
        <v>300</v>
      </c>
      <c r="O304" s="42">
        <f>IFERROR(VLOOKUP(C304,תקציב!$D$22:$J$177,6,0),0)</f>
        <v>0</v>
      </c>
      <c r="P304" s="43">
        <f>IFERROR(VLOOKUP(C304,תקציב!$D$22:$J$177,5,0),0)</f>
        <v>0</v>
      </c>
      <c r="Q304" s="43">
        <f>IF(ISNUMBER(VLOOKUP(C304,תקציב!$D$22:$J$177,3,FALSE)),VLOOKUP(C304,תקציב!$D$22:$J$177,3,FALSE),1)</f>
        <v>1</v>
      </c>
      <c r="R304" s="43">
        <f t="shared" si="53"/>
        <v>0</v>
      </c>
      <c r="S304" s="44">
        <f t="shared" si="54"/>
        <v>0</v>
      </c>
      <c r="T304" s="186">
        <f>IFERROR(VLOOKUP(C304,תקציב!$D$22:$K$177,7,FALSE),0)-S304</f>
        <v>0</v>
      </c>
    </row>
    <row r="305" spans="2:20" ht="15" x14ac:dyDescent="0.2">
      <c r="B305" s="32" t="str">
        <f t="shared" ref="B305:B306" si="59">G305</f>
        <v>חודשים</v>
      </c>
      <c r="C305" s="45" t="str">
        <f>'מק"ט'!$C$3&amp;VLOOKUP(G305,'מק"ט'!$D$2:$E$9,2,FALSE)&amp;VLOOKUP(E305,'מק"ט'!$F$2:$G$9,2,FALSE)&amp;D305</f>
        <v>76140509</v>
      </c>
      <c r="D305" s="60" t="s">
        <v>161</v>
      </c>
      <c r="E305" s="93" t="s">
        <v>173</v>
      </c>
      <c r="F305" s="94" t="s">
        <v>102</v>
      </c>
      <c r="G305" s="55" t="s">
        <v>24</v>
      </c>
      <c r="H305" s="55"/>
      <c r="I305" s="55"/>
      <c r="J305" s="68"/>
      <c r="K305" s="64"/>
      <c r="L305" s="227">
        <f t="shared" si="35"/>
        <v>300</v>
      </c>
      <c r="O305" s="42"/>
      <c r="P305" s="43"/>
      <c r="Q305" s="43"/>
      <c r="R305" s="43"/>
      <c r="S305" s="44"/>
      <c r="T305" s="186"/>
    </row>
    <row r="306" spans="2:20" ht="15" x14ac:dyDescent="0.2">
      <c r="B306" s="32" t="str">
        <f t="shared" si="59"/>
        <v>עונתי גלובלי</v>
      </c>
      <c r="C306" s="45" t="str">
        <f>'מק"ט'!$C$3&amp;VLOOKUP(G306,'מק"ט'!$D$2:$E$9,2,FALSE)&amp;VLOOKUP(E306,'מק"ט'!$F$2:$G$9,2,FALSE)&amp;D306</f>
        <v>76150509</v>
      </c>
      <c r="D306" s="60" t="s">
        <v>161</v>
      </c>
      <c r="E306" s="93" t="s">
        <v>173</v>
      </c>
      <c r="F306" s="94" t="s">
        <v>102</v>
      </c>
      <c r="G306" s="55" t="s">
        <v>23</v>
      </c>
      <c r="H306" s="55"/>
      <c r="I306" s="55"/>
      <c r="J306" s="68"/>
      <c r="K306" s="64"/>
      <c r="L306" s="227">
        <f t="shared" si="35"/>
        <v>300</v>
      </c>
      <c r="O306" s="42"/>
      <c r="P306" s="43"/>
      <c r="Q306" s="43"/>
      <c r="R306" s="43"/>
      <c r="S306" s="44"/>
      <c r="T306" s="186"/>
    </row>
    <row r="307" spans="2:20" ht="15" x14ac:dyDescent="0.2">
      <c r="B307" s="32" t="str">
        <f t="shared" si="56"/>
        <v>תכניות/פרקים</v>
      </c>
      <c r="C307" s="45" t="str">
        <f>'מק"ט'!$C$3&amp;VLOOKUP(G307,'מק"ט'!$D$2:$E$9,2,FALSE)&amp;VLOOKUP(E307,'מק"ט'!$F$2:$G$9,2,FALSE)&amp;D307</f>
        <v>76110510</v>
      </c>
      <c r="D307" s="95">
        <v>10</v>
      </c>
      <c r="E307" s="91" t="s">
        <v>173</v>
      </c>
      <c r="F307" s="92" t="s">
        <v>103</v>
      </c>
      <c r="G307" s="55" t="s">
        <v>25</v>
      </c>
      <c r="H307" s="49"/>
      <c r="I307" s="49"/>
      <c r="J307" s="75"/>
      <c r="K307" s="51"/>
      <c r="L307" s="227">
        <f t="shared" si="35"/>
        <v>305</v>
      </c>
      <c r="O307" s="42">
        <f>IFERROR(VLOOKUP(C307,תקציב!$D$22:$J$177,6,0),0)</f>
        <v>0</v>
      </c>
      <c r="P307" s="43">
        <f>IFERROR(VLOOKUP(C307,תקציב!$D$22:$J$177,5,0),0)</f>
        <v>0</v>
      </c>
      <c r="Q307" s="43">
        <f>IF(ISNUMBER(VLOOKUP(C307,תקציב!$D$22:$J$177,3,FALSE)),VLOOKUP(C307,תקציב!$D$22:$J$177,3,FALSE),1)</f>
        <v>1</v>
      </c>
      <c r="R307" s="43">
        <f t="shared" si="53"/>
        <v>0</v>
      </c>
      <c r="S307" s="44">
        <f t="shared" si="54"/>
        <v>0</v>
      </c>
      <c r="T307" s="186">
        <f>IFERROR(VLOOKUP(C307,תקציב!$D$22:$K$177,7,FALSE),0)-S307</f>
        <v>0</v>
      </c>
    </row>
    <row r="308" spans="2:20" ht="15" x14ac:dyDescent="0.2">
      <c r="B308" s="32" t="str">
        <f t="shared" si="56"/>
        <v>ימים</v>
      </c>
      <c r="C308" s="45" t="str">
        <f>'מק"ט'!$C$3&amp;VLOOKUP(G308,'מק"ט'!$D$2:$E$9,2,FALSE)&amp;VLOOKUP(E308,'מק"ט'!$F$2:$G$9,2,FALSE)&amp;D308</f>
        <v>76120510</v>
      </c>
      <c r="D308" s="95">
        <v>10</v>
      </c>
      <c r="E308" s="91" t="s">
        <v>173</v>
      </c>
      <c r="F308" s="92" t="s">
        <v>103</v>
      </c>
      <c r="G308" s="55" t="s">
        <v>21</v>
      </c>
      <c r="H308" s="49"/>
      <c r="I308" s="49"/>
      <c r="J308" s="75"/>
      <c r="K308" s="51"/>
      <c r="L308" s="227">
        <f t="shared" si="35"/>
        <v>305</v>
      </c>
      <c r="O308" s="42">
        <f>IFERROR(VLOOKUP(C308,תקציב!$D$22:$J$177,6,0),0)</f>
        <v>0</v>
      </c>
      <c r="P308" s="43">
        <f>IFERROR(VLOOKUP(C308,תקציב!$D$22:$J$177,5,0),0)</f>
        <v>0</v>
      </c>
      <c r="Q308" s="43">
        <f>IF(ISNUMBER(VLOOKUP(C308,תקציב!$D$22:$J$177,3,FALSE)),VLOOKUP(C308,תקציב!$D$22:$J$177,3,FALSE),1)</f>
        <v>1</v>
      </c>
      <c r="R308" s="43">
        <f t="shared" si="53"/>
        <v>0</v>
      </c>
      <c r="S308" s="44">
        <f t="shared" si="54"/>
        <v>0</v>
      </c>
      <c r="T308" s="186">
        <f>IFERROR(VLOOKUP(C308,תקציב!$D$22:$K$177,7,FALSE),0)-S308</f>
        <v>0</v>
      </c>
    </row>
    <row r="309" spans="2:20" ht="15" x14ac:dyDescent="0.2">
      <c r="B309" s="32" t="str">
        <f t="shared" ref="B309:B311" si="60">G309</f>
        <v>שבועות</v>
      </c>
      <c r="C309" s="45" t="str">
        <f>'מק"ט'!$C$3&amp;VLOOKUP(G309,'מק"ט'!$D$2:$E$9,2,FALSE)&amp;VLOOKUP(E309,'מק"ט'!$F$2:$G$9,2,FALSE)&amp;D309</f>
        <v>76130510</v>
      </c>
      <c r="D309" s="95">
        <v>10</v>
      </c>
      <c r="E309" s="91" t="s">
        <v>173</v>
      </c>
      <c r="F309" s="92" t="s">
        <v>103</v>
      </c>
      <c r="G309" s="55" t="s">
        <v>26</v>
      </c>
      <c r="H309" s="49"/>
      <c r="I309" s="49"/>
      <c r="J309" s="75"/>
      <c r="K309" s="51"/>
      <c r="L309" s="227">
        <f t="shared" si="35"/>
        <v>305</v>
      </c>
      <c r="O309" s="42"/>
      <c r="P309" s="43"/>
      <c r="Q309" s="43"/>
      <c r="R309" s="43"/>
      <c r="S309" s="44"/>
      <c r="T309" s="186"/>
    </row>
    <row r="310" spans="2:20" ht="15" x14ac:dyDescent="0.2">
      <c r="B310" s="32" t="str">
        <f t="shared" si="60"/>
        <v>חודשים</v>
      </c>
      <c r="C310" s="45" t="str">
        <f>'מק"ט'!$C$3&amp;VLOOKUP(G310,'מק"ט'!$D$2:$E$9,2,FALSE)&amp;VLOOKUP(E310,'מק"ט'!$F$2:$G$9,2,FALSE)&amp;D310</f>
        <v>76140510</v>
      </c>
      <c r="D310" s="95">
        <v>10</v>
      </c>
      <c r="E310" s="91" t="s">
        <v>173</v>
      </c>
      <c r="F310" s="92" t="s">
        <v>103</v>
      </c>
      <c r="G310" s="55" t="s">
        <v>24</v>
      </c>
      <c r="H310" s="49"/>
      <c r="I310" s="49"/>
      <c r="J310" s="75"/>
      <c r="K310" s="51"/>
      <c r="L310" s="227">
        <f t="shared" si="35"/>
        <v>305</v>
      </c>
      <c r="O310" s="42"/>
      <c r="P310" s="43"/>
      <c r="Q310" s="43"/>
      <c r="R310" s="43"/>
      <c r="S310" s="44"/>
      <c r="T310" s="186"/>
    </row>
    <row r="311" spans="2:20" ht="15" x14ac:dyDescent="0.2">
      <c r="B311" s="32" t="str">
        <f t="shared" si="60"/>
        <v>עונתי גלובלי</v>
      </c>
      <c r="C311" s="45" t="str">
        <f>'מק"ט'!$C$3&amp;VLOOKUP(G311,'מק"ט'!$D$2:$E$9,2,FALSE)&amp;VLOOKUP(E311,'מק"ט'!$F$2:$G$9,2,FALSE)&amp;D311</f>
        <v>76150510</v>
      </c>
      <c r="D311" s="95">
        <v>10</v>
      </c>
      <c r="E311" s="91" t="s">
        <v>173</v>
      </c>
      <c r="F311" s="92" t="s">
        <v>103</v>
      </c>
      <c r="G311" s="55" t="s">
        <v>23</v>
      </c>
      <c r="H311" s="49"/>
      <c r="I311" s="49"/>
      <c r="J311" s="75"/>
      <c r="K311" s="51"/>
      <c r="L311" s="227">
        <f t="shared" si="35"/>
        <v>305</v>
      </c>
      <c r="O311" s="42"/>
      <c r="P311" s="43"/>
      <c r="Q311" s="43"/>
      <c r="R311" s="43"/>
      <c r="S311" s="44"/>
      <c r="T311" s="186"/>
    </row>
    <row r="312" spans="2:20" ht="15" x14ac:dyDescent="0.2">
      <c r="B312" s="32" t="str">
        <f t="shared" si="56"/>
        <v>תכניות/פרקים</v>
      </c>
      <c r="C312" s="45" t="str">
        <f>'מק"ט'!$C$3&amp;VLOOKUP(G312,'מק"ט'!$D$2:$E$9,2,FALSE)&amp;VLOOKUP(E312,'מק"ט'!$F$2:$G$9,2,FALSE)&amp;D312</f>
        <v>76110511</v>
      </c>
      <c r="D312" s="96">
        <v>11</v>
      </c>
      <c r="E312" s="93" t="s">
        <v>173</v>
      </c>
      <c r="F312" s="94" t="s">
        <v>104</v>
      </c>
      <c r="G312" s="55" t="s">
        <v>25</v>
      </c>
      <c r="H312" s="55"/>
      <c r="I312" s="55"/>
      <c r="J312" s="68"/>
      <c r="K312" s="57"/>
      <c r="L312" s="227">
        <f t="shared" si="35"/>
        <v>310</v>
      </c>
      <c r="O312" s="42">
        <f>IFERROR(VLOOKUP(C312,תקציב!$D$22:$J$177,6,0),0)</f>
        <v>0</v>
      </c>
      <c r="P312" s="43">
        <f>IFERROR(VLOOKUP(C312,תקציב!$D$22:$J$177,5,0),0)</f>
        <v>0</v>
      </c>
      <c r="Q312" s="43">
        <f>IF(ISNUMBER(VLOOKUP(C312,תקציב!$D$22:$J$177,3,FALSE)),VLOOKUP(C312,תקציב!$D$22:$J$177,3,FALSE),1)</f>
        <v>1</v>
      </c>
      <c r="R312" s="43">
        <f t="shared" si="53"/>
        <v>0</v>
      </c>
      <c r="S312" s="44">
        <f t="shared" si="54"/>
        <v>0</v>
      </c>
      <c r="T312" s="186">
        <f>IFERROR(VLOOKUP(C312,תקציב!$D$22:$K$177,7,FALSE),0)-S312</f>
        <v>0</v>
      </c>
    </row>
    <row r="313" spans="2:20" ht="15" x14ac:dyDescent="0.2">
      <c r="B313" s="32" t="str">
        <f t="shared" si="56"/>
        <v>ימים</v>
      </c>
      <c r="C313" s="45" t="str">
        <f>'מק"ט'!$C$3&amp;VLOOKUP(G313,'מק"ט'!$D$2:$E$9,2,FALSE)&amp;VLOOKUP(E313,'מק"ט'!$F$2:$G$9,2,FALSE)&amp;D313</f>
        <v>76120511</v>
      </c>
      <c r="D313" s="96">
        <v>11</v>
      </c>
      <c r="E313" s="93" t="s">
        <v>173</v>
      </c>
      <c r="F313" s="94" t="s">
        <v>104</v>
      </c>
      <c r="G313" s="55" t="s">
        <v>21</v>
      </c>
      <c r="H313" s="55"/>
      <c r="I313" s="55"/>
      <c r="J313" s="68"/>
      <c r="K313" s="57"/>
      <c r="L313" s="227">
        <f t="shared" si="35"/>
        <v>310</v>
      </c>
      <c r="O313" s="42">
        <f>IFERROR(VLOOKUP(C313,תקציב!$D$22:$J$177,6,0),0)</f>
        <v>0</v>
      </c>
      <c r="P313" s="43">
        <f>IFERROR(VLOOKUP(C313,תקציב!$D$22:$J$177,5,0),0)</f>
        <v>0</v>
      </c>
      <c r="Q313" s="43">
        <f>IF(ISNUMBER(VLOOKUP(C313,תקציב!$D$22:$J$177,3,FALSE)),VLOOKUP(C313,תקציב!$D$22:$J$177,3,FALSE),1)</f>
        <v>1</v>
      </c>
      <c r="R313" s="43">
        <f t="shared" si="53"/>
        <v>0</v>
      </c>
      <c r="S313" s="44">
        <f t="shared" si="54"/>
        <v>0</v>
      </c>
      <c r="T313" s="186">
        <f>IFERROR(VLOOKUP(C313,תקציב!$D$22:$K$177,7,FALSE),0)-S313</f>
        <v>0</v>
      </c>
    </row>
    <row r="314" spans="2:20" ht="15" x14ac:dyDescent="0.2">
      <c r="B314" s="32" t="str">
        <f t="shared" ref="B314:B316" si="61">G314</f>
        <v>שבועות</v>
      </c>
      <c r="C314" s="45" t="str">
        <f>'מק"ט'!$C$3&amp;VLOOKUP(G314,'מק"ט'!$D$2:$E$9,2,FALSE)&amp;VLOOKUP(E314,'מק"ט'!$F$2:$G$9,2,FALSE)&amp;D314</f>
        <v>76130511</v>
      </c>
      <c r="D314" s="96">
        <v>11</v>
      </c>
      <c r="E314" s="93" t="s">
        <v>173</v>
      </c>
      <c r="F314" s="94" t="s">
        <v>104</v>
      </c>
      <c r="G314" s="55" t="s">
        <v>26</v>
      </c>
      <c r="H314" s="55"/>
      <c r="I314" s="55"/>
      <c r="J314" s="68"/>
      <c r="K314" s="57"/>
      <c r="L314" s="227">
        <f t="shared" si="35"/>
        <v>310</v>
      </c>
      <c r="O314" s="42"/>
      <c r="P314" s="43"/>
      <c r="Q314" s="43"/>
      <c r="R314" s="43"/>
      <c r="S314" s="44"/>
      <c r="T314" s="186"/>
    </row>
    <row r="315" spans="2:20" ht="15" x14ac:dyDescent="0.2">
      <c r="B315" s="32" t="str">
        <f t="shared" si="61"/>
        <v>חודשים</v>
      </c>
      <c r="C315" s="45" t="str">
        <f>'מק"ט'!$C$3&amp;VLOOKUP(G315,'מק"ט'!$D$2:$E$9,2,FALSE)&amp;VLOOKUP(E315,'מק"ט'!$F$2:$G$9,2,FALSE)&amp;D315</f>
        <v>76140511</v>
      </c>
      <c r="D315" s="96">
        <v>11</v>
      </c>
      <c r="E315" s="93" t="s">
        <v>173</v>
      </c>
      <c r="F315" s="94" t="s">
        <v>104</v>
      </c>
      <c r="G315" s="55" t="s">
        <v>24</v>
      </c>
      <c r="H315" s="55"/>
      <c r="I315" s="55"/>
      <c r="J315" s="68"/>
      <c r="K315" s="57"/>
      <c r="L315" s="227">
        <f t="shared" si="35"/>
        <v>310</v>
      </c>
      <c r="O315" s="42"/>
      <c r="P315" s="43"/>
      <c r="Q315" s="43"/>
      <c r="R315" s="43"/>
      <c r="S315" s="44"/>
      <c r="T315" s="186"/>
    </row>
    <row r="316" spans="2:20" ht="15" x14ac:dyDescent="0.2">
      <c r="B316" s="32" t="str">
        <f t="shared" si="61"/>
        <v>עונתי גלובלי</v>
      </c>
      <c r="C316" s="45" t="str">
        <f>'מק"ט'!$C$3&amp;VLOOKUP(G316,'מק"ט'!$D$2:$E$9,2,FALSE)&amp;VLOOKUP(E316,'מק"ט'!$F$2:$G$9,2,FALSE)&amp;D316</f>
        <v>76150511</v>
      </c>
      <c r="D316" s="96">
        <v>11</v>
      </c>
      <c r="E316" s="93" t="s">
        <v>173</v>
      </c>
      <c r="F316" s="94" t="s">
        <v>104</v>
      </c>
      <c r="G316" s="55" t="s">
        <v>23</v>
      </c>
      <c r="H316" s="55"/>
      <c r="I316" s="55"/>
      <c r="J316" s="68"/>
      <c r="K316" s="57"/>
      <c r="L316" s="227">
        <f t="shared" si="35"/>
        <v>310</v>
      </c>
      <c r="O316" s="42"/>
      <c r="P316" s="43"/>
      <c r="Q316" s="43"/>
      <c r="R316" s="43"/>
      <c r="S316" s="44"/>
      <c r="T316" s="186"/>
    </row>
    <row r="317" spans="2:20" ht="15" x14ac:dyDescent="0.2">
      <c r="B317" s="32" t="str">
        <f t="shared" si="56"/>
        <v>תכניות/פרקים</v>
      </c>
      <c r="C317" s="45" t="str">
        <f>'מק"ט'!$C$3&amp;VLOOKUP(G317,'מק"ט'!$D$2:$E$9,2,FALSE)&amp;VLOOKUP(E317,'מק"ט'!$F$2:$G$9,2,FALSE)&amp;D317</f>
        <v>76110512</v>
      </c>
      <c r="D317" s="62">
        <v>12</v>
      </c>
      <c r="E317" s="91" t="s">
        <v>173</v>
      </c>
      <c r="F317" s="92" t="s">
        <v>20</v>
      </c>
      <c r="G317" s="55" t="s">
        <v>25</v>
      </c>
      <c r="H317" s="49"/>
      <c r="I317" s="49"/>
      <c r="J317" s="75"/>
      <c r="K317" s="51"/>
      <c r="L317" s="227">
        <f t="shared" si="35"/>
        <v>315</v>
      </c>
      <c r="O317" s="42">
        <f>IFERROR(VLOOKUP(C317,תקציב!$D$22:$J$177,6,0),0)</f>
        <v>0</v>
      </c>
      <c r="P317" s="43">
        <f>IFERROR(VLOOKUP(C317,תקציב!$D$22:$J$177,5,0),0)</f>
        <v>0</v>
      </c>
      <c r="Q317" s="43">
        <f>IF(ISNUMBER(VLOOKUP(C317,תקציב!$D$22:$J$177,3,FALSE)),VLOOKUP(C317,תקציב!$D$22:$J$177,3,FALSE),1)</f>
        <v>1</v>
      </c>
      <c r="R317" s="43">
        <f t="shared" si="53"/>
        <v>0</v>
      </c>
      <c r="S317" s="44">
        <f t="shared" si="54"/>
        <v>0</v>
      </c>
      <c r="T317" s="186">
        <f>IFERROR(VLOOKUP(C317,תקציב!$D$22:$K$177,7,FALSE),0)-S317</f>
        <v>0</v>
      </c>
    </row>
    <row r="318" spans="2:20" ht="15" x14ac:dyDescent="0.2">
      <c r="B318" s="32" t="str">
        <f t="shared" ref="B318" si="62">G318</f>
        <v>ימים</v>
      </c>
      <c r="C318" s="45" t="str">
        <f>'מק"ט'!$C$3&amp;VLOOKUP(G318,'מק"ט'!$D$2:$E$9,2,FALSE)&amp;VLOOKUP(E318,'מק"ט'!$F$2:$G$9,2,FALSE)&amp;D318</f>
        <v>76120512</v>
      </c>
      <c r="D318" s="62">
        <v>12</v>
      </c>
      <c r="E318" s="91" t="s">
        <v>173</v>
      </c>
      <c r="F318" s="92" t="s">
        <v>20</v>
      </c>
      <c r="G318" s="55" t="s">
        <v>21</v>
      </c>
      <c r="H318" s="49"/>
      <c r="I318" s="49"/>
      <c r="J318" s="75"/>
      <c r="K318" s="51"/>
      <c r="L318" s="227">
        <f t="shared" si="35"/>
        <v>315</v>
      </c>
      <c r="O318" s="42"/>
      <c r="P318" s="43"/>
      <c r="Q318" s="43"/>
      <c r="R318" s="43"/>
      <c r="S318" s="44"/>
      <c r="T318" s="186"/>
    </row>
    <row r="319" spans="2:20" ht="14.25" customHeight="1" x14ac:dyDescent="0.2">
      <c r="B319" s="32" t="str">
        <f t="shared" si="56"/>
        <v>שבועות</v>
      </c>
      <c r="C319" s="45" t="str">
        <f>'מק"ט'!$C$3&amp;VLOOKUP(G319,'מק"ט'!$D$2:$E$9,2,FALSE)&amp;VLOOKUP(E319,'מק"ט'!$F$2:$G$9,2,FALSE)&amp;D319</f>
        <v>76130512</v>
      </c>
      <c r="D319" s="62">
        <v>12</v>
      </c>
      <c r="E319" s="91" t="s">
        <v>173</v>
      </c>
      <c r="F319" s="92" t="s">
        <v>20</v>
      </c>
      <c r="G319" s="55" t="s">
        <v>26</v>
      </c>
      <c r="H319" s="49"/>
      <c r="I319" s="49"/>
      <c r="J319" s="75"/>
      <c r="K319" s="51"/>
      <c r="L319" s="227">
        <f t="shared" si="35"/>
        <v>315</v>
      </c>
      <c r="O319" s="42">
        <f>IFERROR(VLOOKUP(C319,תקציב!$D$22:$J$177,6,0),0)</f>
        <v>0</v>
      </c>
      <c r="P319" s="43">
        <f>IFERROR(VLOOKUP(C319,תקציב!$D$22:$J$177,5,0),0)</f>
        <v>0</v>
      </c>
      <c r="Q319" s="43">
        <f>IF(ISNUMBER(VLOOKUP(C319,תקציב!$D$22:$J$177,3,FALSE)),VLOOKUP(C319,תקציב!$D$22:$J$177,3,FALSE),1)</f>
        <v>1</v>
      </c>
      <c r="R319" s="43">
        <f t="shared" si="53"/>
        <v>0</v>
      </c>
      <c r="S319" s="44">
        <f t="shared" si="54"/>
        <v>0</v>
      </c>
      <c r="T319" s="186">
        <f>IFERROR(VLOOKUP(C319,תקציב!$D$22:$K$177,7,FALSE),0)-S319</f>
        <v>0</v>
      </c>
    </row>
    <row r="320" spans="2:20" ht="15" x14ac:dyDescent="0.2">
      <c r="B320" s="32" t="str">
        <f t="shared" si="56"/>
        <v>חודשים</v>
      </c>
      <c r="C320" s="45" t="str">
        <f>'מק"ט'!$C$3&amp;VLOOKUP(G320,'מק"ט'!$D$2:$E$9,2,FALSE)&amp;VLOOKUP(E320,'מק"ט'!$F$2:$G$9,2,FALSE)&amp;D320</f>
        <v>76140512</v>
      </c>
      <c r="D320" s="62">
        <v>12</v>
      </c>
      <c r="E320" s="91" t="s">
        <v>173</v>
      </c>
      <c r="F320" s="92" t="s">
        <v>20</v>
      </c>
      <c r="G320" s="55" t="s">
        <v>24</v>
      </c>
      <c r="H320" s="49"/>
      <c r="I320" s="49"/>
      <c r="J320" s="75"/>
      <c r="K320" s="51"/>
      <c r="L320" s="227">
        <f t="shared" si="35"/>
        <v>315</v>
      </c>
      <c r="O320" s="42">
        <f>IFERROR(VLOOKUP(C320,תקציב!$D$22:$J$177,6,0),0)</f>
        <v>0</v>
      </c>
      <c r="P320" s="43">
        <f>IFERROR(VLOOKUP(C320,תקציב!$D$22:$J$177,5,0),0)</f>
        <v>0</v>
      </c>
      <c r="Q320" s="43">
        <f>IF(ISNUMBER(VLOOKUP(C320,תקציב!$D$22:$J$177,3,FALSE)),VLOOKUP(C320,תקציב!$D$22:$J$177,3,FALSE),1)</f>
        <v>1</v>
      </c>
      <c r="R320" s="43">
        <f t="shared" si="53"/>
        <v>0</v>
      </c>
      <c r="S320" s="44">
        <f t="shared" si="54"/>
        <v>0</v>
      </c>
      <c r="T320" s="186">
        <f>IFERROR(VLOOKUP(C320,תקציב!$D$22:$K$177,7,FALSE),0)-S320</f>
        <v>0</v>
      </c>
    </row>
    <row r="321" spans="2:20" ht="15.75" thickBot="1" x14ac:dyDescent="0.25">
      <c r="B321" s="32" t="str">
        <f t="shared" si="56"/>
        <v>עונתי גלובלי</v>
      </c>
      <c r="C321" s="111" t="str">
        <f>'מק"ט'!$C$3&amp;VLOOKUP(G321,'מק"ט'!$D$2:$E$9,2,FALSE)&amp;VLOOKUP(E321,'מק"ט'!$F$2:$G$9,2,FALSE)&amp;D321</f>
        <v>76150512</v>
      </c>
      <c r="D321" s="62">
        <v>12</v>
      </c>
      <c r="E321" s="91" t="s">
        <v>173</v>
      </c>
      <c r="F321" s="92" t="s">
        <v>20</v>
      </c>
      <c r="G321" s="55" t="s">
        <v>23</v>
      </c>
      <c r="H321" s="49"/>
      <c r="I321" s="49"/>
      <c r="J321" s="75"/>
      <c r="K321" s="51"/>
      <c r="L321" s="227">
        <f t="shared" si="35"/>
        <v>315</v>
      </c>
      <c r="O321" s="42">
        <f>IFERROR(VLOOKUP(C321,תקציב!$D$22:$J$177,6,0),0)</f>
        <v>0</v>
      </c>
      <c r="P321" s="43">
        <f>IFERROR(VLOOKUP(C321,תקציב!$D$22:$J$177,5,0),0)</f>
        <v>0</v>
      </c>
      <c r="Q321" s="43">
        <f>IF(ISNUMBER(VLOOKUP(C321,תקציב!$D$22:$J$177,3,FALSE)),VLOOKUP(C321,תקציב!$D$22:$J$177,3,FALSE),1)</f>
        <v>1</v>
      </c>
      <c r="R321" s="43">
        <f t="shared" si="53"/>
        <v>0</v>
      </c>
      <c r="S321" s="44">
        <f t="shared" si="54"/>
        <v>0</v>
      </c>
      <c r="T321" s="186">
        <f>IFERROR(VLOOKUP(C321,תקציב!$D$22:$K$177,7,FALSE),0)-S321</f>
        <v>0</v>
      </c>
    </row>
    <row r="322" spans="2:20" ht="15" x14ac:dyDescent="0.2">
      <c r="B322" s="32" t="str">
        <f t="shared" si="56"/>
        <v>עונתי גלובלי</v>
      </c>
      <c r="C322" s="36" t="str">
        <f>'מק"ט'!$C$3&amp;VLOOKUP(G322,'מק"ט'!$D$2:$E$9,2,FALSE)&amp;VLOOKUP(E322,'מק"ט'!$F$2:$G$9,2,FALSE)&amp;D322</f>
        <v>76150622</v>
      </c>
      <c r="D322" s="191">
        <v>22</v>
      </c>
      <c r="E322" s="98" t="s">
        <v>117</v>
      </c>
      <c r="F322" s="192" t="s">
        <v>236</v>
      </c>
      <c r="G322" s="100" t="s">
        <v>23</v>
      </c>
      <c r="H322" s="100"/>
      <c r="I322" s="100"/>
      <c r="J322" s="101">
        <v>0</v>
      </c>
      <c r="K322" s="193" t="s">
        <v>242</v>
      </c>
      <c r="L322" s="227">
        <f t="shared" si="35"/>
        <v>320</v>
      </c>
      <c r="O322" s="42">
        <f>IFERROR(VLOOKUP(C322,תקציב!$D$22:$J$177,6,0),0)</f>
        <v>0</v>
      </c>
      <c r="P322" s="43">
        <f>IFERROR(VLOOKUP(C322,תקציב!$D$22:$J$177,5,0),0)</f>
        <v>0</v>
      </c>
      <c r="Q322" s="43">
        <f>IF(ISNUMBER(VLOOKUP(C322,תקציב!$D$22:$J$177,3,FALSE)),VLOOKUP(C322,תקציב!$D$22:$J$177,3,FALSE),1)</f>
        <v>1</v>
      </c>
      <c r="R322" s="43">
        <f t="shared" si="53"/>
        <v>0</v>
      </c>
      <c r="S322" s="44">
        <f t="shared" si="54"/>
        <v>0</v>
      </c>
      <c r="T322" s="186">
        <f>IFERROR(VLOOKUP(C322,תקציב!$D$22:$K$177,7,FALSE),0)-S322</f>
        <v>0</v>
      </c>
    </row>
    <row r="323" spans="2:20" ht="15" x14ac:dyDescent="0.2">
      <c r="B323" s="32" t="str">
        <f t="shared" si="56"/>
        <v>תכניות/פרקים</v>
      </c>
      <c r="C323" s="45" t="str">
        <f>'מק"ט'!$C$3&amp;VLOOKUP(G323,'מק"ט'!$D$2:$E$9,2,FALSE)&amp;VLOOKUP(E323,'מק"ט'!$F$2:$G$9,2,FALSE)&amp;D323</f>
        <v>76110623</v>
      </c>
      <c r="D323" s="62">
        <v>23</v>
      </c>
      <c r="E323" s="91" t="s">
        <v>117</v>
      </c>
      <c r="F323" s="92" t="s">
        <v>237</v>
      </c>
      <c r="G323" s="55" t="s">
        <v>25</v>
      </c>
      <c r="H323" s="49"/>
      <c r="I323" s="49"/>
      <c r="J323" s="75"/>
      <c r="K323" s="51" t="s">
        <v>243</v>
      </c>
      <c r="L323" s="227">
        <f t="shared" si="35"/>
        <v>325</v>
      </c>
      <c r="O323" s="42">
        <f>IFERROR(VLOOKUP(C323,תקציב!$D$22:$J$177,6,0),0)</f>
        <v>0</v>
      </c>
      <c r="P323" s="43">
        <f>IFERROR(VLOOKUP(C323,תקציב!$D$22:$J$177,5,0),0)</f>
        <v>0</v>
      </c>
      <c r="Q323" s="43">
        <f>IF(ISNUMBER(VLOOKUP(C323,תקציב!$D$22:$J$177,3,FALSE)),VLOOKUP(C323,תקציב!$D$22:$J$177,3,FALSE),1)</f>
        <v>1</v>
      </c>
      <c r="R323" s="43">
        <f t="shared" si="53"/>
        <v>0</v>
      </c>
      <c r="S323" s="44">
        <f t="shared" si="54"/>
        <v>0</v>
      </c>
      <c r="T323" s="186">
        <f>IFERROR(VLOOKUP(C323,תקציב!$D$22:$K$177,7,FALSE),0)-S323</f>
        <v>0</v>
      </c>
    </row>
    <row r="324" spans="2:20" ht="15" x14ac:dyDescent="0.2">
      <c r="B324" s="32" t="str">
        <f t="shared" ref="B324:B325" si="63">G324</f>
        <v>ימים</v>
      </c>
      <c r="C324" s="45" t="str">
        <f>'מק"ט'!$C$3&amp;VLOOKUP(G324,'מק"ט'!$D$2:$E$9,2,FALSE)&amp;VLOOKUP(E324,'מק"ט'!$F$2:$G$9,2,FALSE)&amp;D324</f>
        <v>76120623</v>
      </c>
      <c r="D324" s="62">
        <v>23</v>
      </c>
      <c r="E324" s="91" t="s">
        <v>117</v>
      </c>
      <c r="F324" s="92" t="s">
        <v>237</v>
      </c>
      <c r="G324" s="55" t="s">
        <v>21</v>
      </c>
      <c r="H324" s="49"/>
      <c r="I324" s="49"/>
      <c r="J324" s="75"/>
      <c r="K324" s="51"/>
      <c r="L324" s="227">
        <f t="shared" si="35"/>
        <v>325</v>
      </c>
      <c r="O324" s="42"/>
      <c r="P324" s="43"/>
      <c r="Q324" s="43"/>
      <c r="R324" s="43"/>
      <c r="S324" s="44"/>
      <c r="T324" s="186"/>
    </row>
    <row r="325" spans="2:20" ht="15" x14ac:dyDescent="0.2">
      <c r="B325" s="32" t="str">
        <f t="shared" si="63"/>
        <v>שבועות</v>
      </c>
      <c r="C325" s="45" t="str">
        <f>'מק"ט'!$C$3&amp;VLOOKUP(G325,'מק"ט'!$D$2:$E$9,2,FALSE)&amp;VLOOKUP(E325,'מק"ט'!$F$2:$G$9,2,FALSE)&amp;D325</f>
        <v>76130623</v>
      </c>
      <c r="D325" s="62">
        <v>23</v>
      </c>
      <c r="E325" s="91" t="s">
        <v>117</v>
      </c>
      <c r="F325" s="92" t="s">
        <v>237</v>
      </c>
      <c r="G325" s="55" t="s">
        <v>26</v>
      </c>
      <c r="H325" s="49"/>
      <c r="I325" s="49"/>
      <c r="J325" s="75"/>
      <c r="K325" s="51"/>
      <c r="L325" s="227">
        <f t="shared" si="35"/>
        <v>325</v>
      </c>
      <c r="O325" s="42"/>
      <c r="P325" s="43"/>
      <c r="Q325" s="43"/>
      <c r="R325" s="43"/>
      <c r="S325" s="44"/>
      <c r="T325" s="186"/>
    </row>
    <row r="326" spans="2:20" ht="15" x14ac:dyDescent="0.2">
      <c r="B326" s="32" t="str">
        <f t="shared" ref="B326:B327" si="64">G326</f>
        <v>חודשים</v>
      </c>
      <c r="C326" s="45" t="str">
        <f>'מק"ט'!$C$3&amp;VLOOKUP(G326,'מק"ט'!$D$2:$E$9,2,FALSE)&amp;VLOOKUP(E326,'מק"ט'!$F$2:$G$9,2,FALSE)&amp;D326</f>
        <v>76140623</v>
      </c>
      <c r="D326" s="62">
        <v>23</v>
      </c>
      <c r="E326" s="91" t="s">
        <v>117</v>
      </c>
      <c r="F326" s="92" t="s">
        <v>237</v>
      </c>
      <c r="G326" s="55" t="s">
        <v>24</v>
      </c>
      <c r="H326" s="49"/>
      <c r="I326" s="49"/>
      <c r="J326" s="75"/>
      <c r="K326" s="51"/>
      <c r="L326" s="227">
        <f t="shared" si="35"/>
        <v>325</v>
      </c>
      <c r="O326" s="42"/>
      <c r="P326" s="43"/>
      <c r="Q326" s="43"/>
      <c r="R326" s="43"/>
      <c r="S326" s="44"/>
      <c r="T326" s="186"/>
    </row>
    <row r="327" spans="2:20" ht="15" x14ac:dyDescent="0.2">
      <c r="B327" s="32" t="str">
        <f t="shared" si="64"/>
        <v>עונתי גלובלי</v>
      </c>
      <c r="C327" s="45" t="str">
        <f>'מק"ט'!$C$3&amp;VLOOKUP(G327,'מק"ט'!$D$2:$E$9,2,FALSE)&amp;VLOOKUP(E327,'מק"ט'!$F$2:$G$9,2,FALSE)&amp;D327</f>
        <v>76150623</v>
      </c>
      <c r="D327" s="62">
        <v>23</v>
      </c>
      <c r="E327" s="91" t="s">
        <v>117</v>
      </c>
      <c r="F327" s="92" t="s">
        <v>237</v>
      </c>
      <c r="G327" s="55" t="s">
        <v>23</v>
      </c>
      <c r="H327" s="49"/>
      <c r="I327" s="49"/>
      <c r="J327" s="75"/>
      <c r="K327" s="51"/>
      <c r="L327" s="227">
        <f t="shared" si="35"/>
        <v>325</v>
      </c>
      <c r="O327" s="42"/>
      <c r="P327" s="43"/>
      <c r="Q327" s="43"/>
      <c r="R327" s="43"/>
      <c r="S327" s="44"/>
      <c r="T327" s="186"/>
    </row>
    <row r="328" spans="2:20" ht="15" x14ac:dyDescent="0.2">
      <c r="B328" s="32" t="str">
        <f t="shared" si="56"/>
        <v>תכניות/פרקים</v>
      </c>
      <c r="C328" s="45" t="str">
        <f>'מק"ט'!$C$3&amp;VLOOKUP(G328,'מק"ט'!$D$2:$E$9,2,FALSE)&amp;VLOOKUP(E328,'מק"ט'!$F$2:$G$9,2,FALSE)&amp;D328</f>
        <v>76110624</v>
      </c>
      <c r="D328" s="52">
        <v>24</v>
      </c>
      <c r="E328" s="93" t="s">
        <v>117</v>
      </c>
      <c r="F328" s="94" t="s">
        <v>244</v>
      </c>
      <c r="G328" s="55" t="s">
        <v>25</v>
      </c>
      <c r="H328" s="55"/>
      <c r="I328" s="55"/>
      <c r="J328" s="68"/>
      <c r="K328" s="57" t="s">
        <v>243</v>
      </c>
      <c r="L328" s="227">
        <f t="shared" si="35"/>
        <v>330</v>
      </c>
      <c r="O328" s="42">
        <f>IFERROR(VLOOKUP(C328,תקציב!$D$22:$J$177,6,0),0)</f>
        <v>0</v>
      </c>
      <c r="P328" s="43">
        <f>IFERROR(VLOOKUP(C328,תקציב!$D$22:$J$177,5,0),0)</f>
        <v>0</v>
      </c>
      <c r="Q328" s="43">
        <f>IF(ISNUMBER(VLOOKUP(C328,תקציב!$D$22:$J$177,3,FALSE)),VLOOKUP(C328,תקציב!$D$22:$J$177,3,FALSE),1)</f>
        <v>1</v>
      </c>
      <c r="R328" s="43">
        <f t="shared" si="53"/>
        <v>0</v>
      </c>
      <c r="S328" s="44">
        <f t="shared" si="54"/>
        <v>0</v>
      </c>
      <c r="T328" s="186">
        <f>IFERROR(VLOOKUP(C328,תקציב!$D$22:$K$177,7,FALSE),0)-S328</f>
        <v>0</v>
      </c>
    </row>
    <row r="329" spans="2:20" ht="15" x14ac:dyDescent="0.2">
      <c r="B329" s="32" t="str">
        <f t="shared" si="56"/>
        <v>ימים</v>
      </c>
      <c r="C329" s="45" t="str">
        <f>'מק"ט'!$C$3&amp;VLOOKUP(G329,'מק"ט'!$D$2:$E$9,2,FALSE)&amp;VLOOKUP(E329,'מק"ט'!$F$2:$G$9,2,FALSE)&amp;D329</f>
        <v>76120624</v>
      </c>
      <c r="D329" s="52">
        <v>24</v>
      </c>
      <c r="E329" s="93" t="s">
        <v>117</v>
      </c>
      <c r="F329" s="94" t="s">
        <v>244</v>
      </c>
      <c r="G329" s="55" t="s">
        <v>21</v>
      </c>
      <c r="H329" s="55"/>
      <c r="I329" s="55"/>
      <c r="J329" s="68"/>
      <c r="K329" s="57"/>
      <c r="L329" s="227">
        <f t="shared" si="35"/>
        <v>330</v>
      </c>
      <c r="O329" s="42"/>
      <c r="P329" s="43"/>
      <c r="Q329" s="43"/>
      <c r="R329" s="43"/>
      <c r="S329" s="44"/>
      <c r="T329" s="186"/>
    </row>
    <row r="330" spans="2:20" ht="15" x14ac:dyDescent="0.2">
      <c r="B330" s="32" t="str">
        <f t="shared" ref="B330:B332" si="65">G330</f>
        <v>שבועות</v>
      </c>
      <c r="C330" s="45" t="str">
        <f>'מק"ט'!$C$3&amp;VLOOKUP(G330,'מק"ט'!$D$2:$E$9,2,FALSE)&amp;VLOOKUP(E330,'מק"ט'!$F$2:$G$9,2,FALSE)&amp;D330</f>
        <v>76130624</v>
      </c>
      <c r="D330" s="52">
        <v>24</v>
      </c>
      <c r="E330" s="93" t="s">
        <v>117</v>
      </c>
      <c r="F330" s="94" t="s">
        <v>244</v>
      </c>
      <c r="G330" s="55" t="s">
        <v>26</v>
      </c>
      <c r="H330" s="55"/>
      <c r="I330" s="55"/>
      <c r="J330" s="68"/>
      <c r="K330" s="57"/>
      <c r="L330" s="227">
        <f t="shared" si="35"/>
        <v>330</v>
      </c>
      <c r="O330" s="42"/>
      <c r="P330" s="43"/>
      <c r="Q330" s="43"/>
      <c r="R330" s="43"/>
      <c r="S330" s="44"/>
      <c r="T330" s="186"/>
    </row>
    <row r="331" spans="2:20" ht="15" x14ac:dyDescent="0.2">
      <c r="B331" s="32" t="str">
        <f t="shared" si="65"/>
        <v>חודשים</v>
      </c>
      <c r="C331" s="45" t="str">
        <f>'מק"ט'!$C$3&amp;VLOOKUP(G331,'מק"ט'!$D$2:$E$9,2,FALSE)&amp;VLOOKUP(E331,'מק"ט'!$F$2:$G$9,2,FALSE)&amp;D331</f>
        <v>76140624</v>
      </c>
      <c r="D331" s="52">
        <v>24</v>
      </c>
      <c r="E331" s="93" t="s">
        <v>117</v>
      </c>
      <c r="F331" s="94" t="s">
        <v>244</v>
      </c>
      <c r="G331" s="55" t="s">
        <v>24</v>
      </c>
      <c r="H331" s="55"/>
      <c r="I331" s="55"/>
      <c r="J331" s="68"/>
      <c r="K331" s="57"/>
      <c r="L331" s="227">
        <f t="shared" si="35"/>
        <v>330</v>
      </c>
      <c r="O331" s="42"/>
      <c r="P331" s="43"/>
      <c r="Q331" s="43"/>
      <c r="R331" s="43"/>
      <c r="S331" s="44"/>
      <c r="T331" s="186"/>
    </row>
    <row r="332" spans="2:20" ht="15" x14ac:dyDescent="0.2">
      <c r="B332" s="32" t="str">
        <f t="shared" si="65"/>
        <v>עונתי גלובלי</v>
      </c>
      <c r="C332" s="45" t="str">
        <f>'מק"ט'!$C$3&amp;VLOOKUP(G332,'מק"ט'!$D$2:$E$9,2,FALSE)&amp;VLOOKUP(E332,'מק"ט'!$F$2:$G$9,2,FALSE)&amp;D332</f>
        <v>76150624</v>
      </c>
      <c r="D332" s="52">
        <v>24</v>
      </c>
      <c r="E332" s="93" t="s">
        <v>117</v>
      </c>
      <c r="F332" s="94" t="s">
        <v>244</v>
      </c>
      <c r="G332" s="55" t="s">
        <v>23</v>
      </c>
      <c r="H332" s="55"/>
      <c r="I332" s="55"/>
      <c r="J332" s="68"/>
      <c r="K332" s="57"/>
      <c r="L332" s="227">
        <f t="shared" si="35"/>
        <v>330</v>
      </c>
      <c r="O332" s="42"/>
      <c r="P332" s="43"/>
      <c r="Q332" s="43"/>
      <c r="R332" s="43"/>
      <c r="S332" s="44"/>
      <c r="T332" s="186"/>
    </row>
    <row r="333" spans="2:20" ht="15" x14ac:dyDescent="0.2">
      <c r="B333" s="32" t="str">
        <f t="shared" si="56"/>
        <v>תכניות/פרקים</v>
      </c>
      <c r="C333" s="45" t="str">
        <f>'מק"ט'!$C$3&amp;VLOOKUP(G333,'מק"ט'!$D$2:$E$9,2,FALSE)&amp;VLOOKUP(E333,'מק"ט'!$F$2:$G$9,2,FALSE)&amp;D333</f>
        <v>76110625</v>
      </c>
      <c r="D333" s="62">
        <v>25</v>
      </c>
      <c r="E333" s="91" t="s">
        <v>117</v>
      </c>
      <c r="F333" s="92" t="s">
        <v>238</v>
      </c>
      <c r="G333" s="55" t="s">
        <v>25</v>
      </c>
      <c r="H333" s="49"/>
      <c r="I333" s="49"/>
      <c r="J333" s="75"/>
      <c r="K333" s="51" t="s">
        <v>243</v>
      </c>
      <c r="L333" s="227">
        <f t="shared" si="35"/>
        <v>335</v>
      </c>
      <c r="O333" s="42">
        <f>IFERROR(VLOOKUP(C333,תקציב!$D$22:$J$177,6,0),0)</f>
        <v>0</v>
      </c>
      <c r="P333" s="43">
        <f>IFERROR(VLOOKUP(C333,תקציב!$D$22:$J$177,5,0),0)</f>
        <v>0</v>
      </c>
      <c r="Q333" s="43">
        <f>IF(ISNUMBER(VLOOKUP(C333,תקציב!$D$22:$J$177,3,FALSE)),VLOOKUP(C333,תקציב!$D$22:$J$177,3,FALSE),1)</f>
        <v>1</v>
      </c>
      <c r="R333" s="43">
        <f t="shared" si="53"/>
        <v>0</v>
      </c>
      <c r="S333" s="44">
        <f t="shared" si="54"/>
        <v>0</v>
      </c>
      <c r="T333" s="186">
        <f>IFERROR(VLOOKUP(C333,תקציב!$D$22:$K$177,7,FALSE),0)-S333</f>
        <v>0</v>
      </c>
    </row>
    <row r="334" spans="2:20" ht="15" x14ac:dyDescent="0.2">
      <c r="B334" s="32" t="str">
        <f t="shared" si="56"/>
        <v>ימים</v>
      </c>
      <c r="C334" s="45" t="str">
        <f>'מק"ט'!$C$3&amp;VLOOKUP(G334,'מק"ט'!$D$2:$E$9,2,FALSE)&amp;VLOOKUP(E334,'מק"ט'!$F$2:$G$9,2,FALSE)&amp;D334</f>
        <v>76120625</v>
      </c>
      <c r="D334" s="62">
        <v>25</v>
      </c>
      <c r="E334" s="91" t="s">
        <v>117</v>
      </c>
      <c r="F334" s="92" t="s">
        <v>238</v>
      </c>
      <c r="G334" s="55" t="s">
        <v>21</v>
      </c>
      <c r="H334" s="49"/>
      <c r="I334" s="49"/>
      <c r="J334" s="75"/>
      <c r="K334" s="51" t="s">
        <v>243</v>
      </c>
      <c r="L334" s="227">
        <f t="shared" si="35"/>
        <v>335</v>
      </c>
      <c r="O334" s="42">
        <f>IFERROR(VLOOKUP(C334,תקציב!$D$22:$J$177,6,0),0)</f>
        <v>0</v>
      </c>
      <c r="P334" s="43">
        <f>IFERROR(VLOOKUP(C334,תקציב!$D$22:$J$177,5,0),0)</f>
        <v>0</v>
      </c>
      <c r="Q334" s="43">
        <f>IF(ISNUMBER(VLOOKUP(C334,תקציב!$D$22:$J$177,3,FALSE)),VLOOKUP(C334,תקציב!$D$22:$J$177,3,FALSE),1)</f>
        <v>1</v>
      </c>
      <c r="R334" s="43">
        <f t="shared" si="53"/>
        <v>0</v>
      </c>
      <c r="S334" s="44">
        <f t="shared" si="54"/>
        <v>0</v>
      </c>
      <c r="T334" s="186">
        <f>IFERROR(VLOOKUP(C334,תקציב!$D$22:$K$177,7,FALSE),0)-S334</f>
        <v>0</v>
      </c>
    </row>
    <row r="335" spans="2:20" ht="15" x14ac:dyDescent="0.2">
      <c r="B335" s="32" t="str">
        <f t="shared" ref="B335:B337" si="66">G335</f>
        <v>שבועות</v>
      </c>
      <c r="C335" s="45" t="str">
        <f>'מק"ט'!$C$3&amp;VLOOKUP(G335,'מק"ט'!$D$2:$E$9,2,FALSE)&amp;VLOOKUP(E335,'מק"ט'!$F$2:$G$9,2,FALSE)&amp;D335</f>
        <v>76130625</v>
      </c>
      <c r="D335" s="62">
        <v>25</v>
      </c>
      <c r="E335" s="91" t="s">
        <v>117</v>
      </c>
      <c r="F335" s="92" t="s">
        <v>238</v>
      </c>
      <c r="G335" s="55" t="s">
        <v>26</v>
      </c>
      <c r="H335" s="49"/>
      <c r="I335" s="49"/>
      <c r="J335" s="75"/>
      <c r="K335" s="51"/>
      <c r="L335" s="227">
        <f t="shared" si="35"/>
        <v>335</v>
      </c>
      <c r="O335" s="42"/>
      <c r="P335" s="43"/>
      <c r="Q335" s="43"/>
      <c r="R335" s="43"/>
      <c r="S335" s="44"/>
      <c r="T335" s="186"/>
    </row>
    <row r="336" spans="2:20" ht="15" x14ac:dyDescent="0.2">
      <c r="B336" s="32" t="str">
        <f t="shared" si="66"/>
        <v>חודשים</v>
      </c>
      <c r="C336" s="45" t="str">
        <f>'מק"ט'!$C$3&amp;VLOOKUP(G336,'מק"ט'!$D$2:$E$9,2,FALSE)&amp;VLOOKUP(E336,'מק"ט'!$F$2:$G$9,2,FALSE)&amp;D336</f>
        <v>76140625</v>
      </c>
      <c r="D336" s="62">
        <v>25</v>
      </c>
      <c r="E336" s="91" t="s">
        <v>117</v>
      </c>
      <c r="F336" s="92" t="s">
        <v>238</v>
      </c>
      <c r="G336" s="55" t="s">
        <v>24</v>
      </c>
      <c r="H336" s="49"/>
      <c r="I336" s="49"/>
      <c r="J336" s="75"/>
      <c r="K336" s="51"/>
      <c r="L336" s="227">
        <f t="shared" si="35"/>
        <v>335</v>
      </c>
      <c r="O336" s="42"/>
      <c r="P336" s="43"/>
      <c r="Q336" s="43"/>
      <c r="R336" s="43"/>
      <c r="S336" s="44"/>
      <c r="T336" s="186"/>
    </row>
    <row r="337" spans="2:20" ht="15" x14ac:dyDescent="0.2">
      <c r="B337" s="32" t="str">
        <f t="shared" si="66"/>
        <v>עונתי גלובלי</v>
      </c>
      <c r="C337" s="45" t="str">
        <f>'מק"ט'!$C$3&amp;VLOOKUP(G337,'מק"ט'!$D$2:$E$9,2,FALSE)&amp;VLOOKUP(E337,'מק"ט'!$F$2:$G$9,2,FALSE)&amp;D337</f>
        <v>76150625</v>
      </c>
      <c r="D337" s="62">
        <v>25</v>
      </c>
      <c r="E337" s="91" t="s">
        <v>117</v>
      </c>
      <c r="F337" s="92" t="s">
        <v>238</v>
      </c>
      <c r="G337" s="55" t="s">
        <v>23</v>
      </c>
      <c r="H337" s="49"/>
      <c r="I337" s="49"/>
      <c r="J337" s="75"/>
      <c r="K337" s="51"/>
      <c r="L337" s="227">
        <f t="shared" si="35"/>
        <v>335</v>
      </c>
      <c r="O337" s="42"/>
      <c r="P337" s="43"/>
      <c r="Q337" s="43"/>
      <c r="R337" s="43"/>
      <c r="S337" s="44"/>
      <c r="T337" s="186"/>
    </row>
    <row r="338" spans="2:20" ht="15" x14ac:dyDescent="0.2">
      <c r="B338" s="32" t="str">
        <f t="shared" si="56"/>
        <v>תכניות/פרקים</v>
      </c>
      <c r="C338" s="45" t="str">
        <f>'מק"ט'!$C$3&amp;VLOOKUP(G338,'מק"ט'!$D$2:$E$9,2,FALSE)&amp;VLOOKUP(E338,'מק"ט'!$F$2:$G$9,2,FALSE)&amp;D338</f>
        <v>76110626</v>
      </c>
      <c r="D338" s="52">
        <v>26</v>
      </c>
      <c r="E338" s="93" t="s">
        <v>117</v>
      </c>
      <c r="F338" s="94" t="s">
        <v>239</v>
      </c>
      <c r="G338" s="55" t="s">
        <v>25</v>
      </c>
      <c r="H338" s="55"/>
      <c r="I338" s="55"/>
      <c r="J338" s="68"/>
      <c r="K338" s="57" t="s">
        <v>243</v>
      </c>
      <c r="L338" s="227">
        <f t="shared" si="35"/>
        <v>340</v>
      </c>
      <c r="O338" s="42">
        <f>IFERROR(VLOOKUP(C338,תקציב!$D$22:$J$177,6,0),0)</f>
        <v>0</v>
      </c>
      <c r="P338" s="43">
        <f>IFERROR(VLOOKUP(C338,תקציב!$D$22:$J$177,5,0),0)</f>
        <v>0</v>
      </c>
      <c r="Q338" s="43">
        <f>IF(ISNUMBER(VLOOKUP(C338,תקציב!$D$22:$J$177,3,FALSE)),VLOOKUP(C338,תקציב!$D$22:$J$177,3,FALSE),1)</f>
        <v>1</v>
      </c>
      <c r="R338" s="43">
        <f t="shared" si="53"/>
        <v>0</v>
      </c>
      <c r="S338" s="44">
        <f t="shared" si="54"/>
        <v>0</v>
      </c>
      <c r="T338" s="186">
        <f>IFERROR(VLOOKUP(C338,תקציב!$D$22:$K$177,7,FALSE),0)-S338</f>
        <v>0</v>
      </c>
    </row>
    <row r="339" spans="2:20" ht="15" x14ac:dyDescent="0.2">
      <c r="B339" s="32" t="str">
        <f t="shared" si="56"/>
        <v>ימים</v>
      </c>
      <c r="C339" s="45" t="str">
        <f>'מק"ט'!$C$3&amp;VLOOKUP(G339,'מק"ט'!$D$2:$E$9,2,FALSE)&amp;VLOOKUP(E339,'מק"ט'!$F$2:$G$9,2,FALSE)&amp;D339</f>
        <v>76120626</v>
      </c>
      <c r="D339" s="52">
        <v>26</v>
      </c>
      <c r="E339" s="93" t="s">
        <v>117</v>
      </c>
      <c r="F339" s="94" t="s">
        <v>239</v>
      </c>
      <c r="G339" s="55" t="s">
        <v>21</v>
      </c>
      <c r="H339" s="55"/>
      <c r="I339" s="55"/>
      <c r="J339" s="68"/>
      <c r="K339" s="57" t="s">
        <v>243</v>
      </c>
      <c r="L339" s="227">
        <f t="shared" si="35"/>
        <v>340</v>
      </c>
      <c r="O339" s="42">
        <f>IFERROR(VLOOKUP(C339,תקציב!$D$22:$J$177,6,0),0)</f>
        <v>0</v>
      </c>
      <c r="P339" s="43">
        <f>IFERROR(VLOOKUP(C339,תקציב!$D$22:$J$177,5,0),0)</f>
        <v>0</v>
      </c>
      <c r="Q339" s="43">
        <f>IF(ISNUMBER(VLOOKUP(C339,תקציב!$D$22:$J$177,3,FALSE)),VLOOKUP(C339,תקציב!$D$22:$J$177,3,FALSE),1)</f>
        <v>1</v>
      </c>
      <c r="R339" s="43">
        <f t="shared" si="53"/>
        <v>0</v>
      </c>
      <c r="S339" s="44">
        <f t="shared" si="54"/>
        <v>0</v>
      </c>
      <c r="T339" s="186">
        <f>IFERROR(VLOOKUP(C339,תקציב!$D$22:$K$177,7,FALSE),0)-S339</f>
        <v>0</v>
      </c>
    </row>
    <row r="340" spans="2:20" ht="15" x14ac:dyDescent="0.2">
      <c r="B340" s="32" t="str">
        <f t="shared" ref="B340:B342" si="67">G340</f>
        <v>שבועות</v>
      </c>
      <c r="C340" s="45" t="str">
        <f>'מק"ט'!$C$3&amp;VLOOKUP(G340,'מק"ט'!$D$2:$E$9,2,FALSE)&amp;VLOOKUP(E340,'מק"ט'!$F$2:$G$9,2,FALSE)&amp;D340</f>
        <v>76130626</v>
      </c>
      <c r="D340" s="52">
        <v>26</v>
      </c>
      <c r="E340" s="93" t="s">
        <v>117</v>
      </c>
      <c r="F340" s="94" t="s">
        <v>239</v>
      </c>
      <c r="G340" s="55" t="s">
        <v>26</v>
      </c>
      <c r="H340" s="55"/>
      <c r="I340" s="55"/>
      <c r="J340" s="68"/>
      <c r="K340" s="57"/>
      <c r="L340" s="227">
        <f t="shared" si="35"/>
        <v>340</v>
      </c>
      <c r="O340" s="42"/>
      <c r="P340" s="43"/>
      <c r="Q340" s="43"/>
      <c r="R340" s="43"/>
      <c r="S340" s="44"/>
      <c r="T340" s="186"/>
    </row>
    <row r="341" spans="2:20" ht="15" x14ac:dyDescent="0.2">
      <c r="B341" s="32" t="str">
        <f t="shared" si="67"/>
        <v>חודשים</v>
      </c>
      <c r="C341" s="45" t="str">
        <f>'מק"ט'!$C$3&amp;VLOOKUP(G341,'מק"ט'!$D$2:$E$9,2,FALSE)&amp;VLOOKUP(E341,'מק"ט'!$F$2:$G$9,2,FALSE)&amp;D341</f>
        <v>76140626</v>
      </c>
      <c r="D341" s="52">
        <v>26</v>
      </c>
      <c r="E341" s="93" t="s">
        <v>117</v>
      </c>
      <c r="F341" s="94" t="s">
        <v>239</v>
      </c>
      <c r="G341" s="55" t="s">
        <v>24</v>
      </c>
      <c r="H341" s="55"/>
      <c r="I341" s="55"/>
      <c r="J341" s="68"/>
      <c r="K341" s="57"/>
      <c r="L341" s="227">
        <f t="shared" si="35"/>
        <v>340</v>
      </c>
      <c r="O341" s="42"/>
      <c r="P341" s="43"/>
      <c r="Q341" s="43"/>
      <c r="R341" s="43"/>
      <c r="S341" s="44"/>
      <c r="T341" s="186"/>
    </row>
    <row r="342" spans="2:20" ht="15" x14ac:dyDescent="0.2">
      <c r="B342" s="32" t="str">
        <f t="shared" si="67"/>
        <v>עונתי גלובלי</v>
      </c>
      <c r="C342" s="45" t="str">
        <f>'מק"ט'!$C$3&amp;VLOOKUP(G342,'מק"ט'!$D$2:$E$9,2,FALSE)&amp;VLOOKUP(E342,'מק"ט'!$F$2:$G$9,2,FALSE)&amp;D342</f>
        <v>76150626</v>
      </c>
      <c r="D342" s="52">
        <v>26</v>
      </c>
      <c r="E342" s="93" t="s">
        <v>117</v>
      </c>
      <c r="F342" s="94" t="s">
        <v>239</v>
      </c>
      <c r="G342" s="55" t="s">
        <v>23</v>
      </c>
      <c r="H342" s="55"/>
      <c r="I342" s="55"/>
      <c r="J342" s="68"/>
      <c r="K342" s="57"/>
      <c r="L342" s="227">
        <f t="shared" si="35"/>
        <v>340</v>
      </c>
      <c r="O342" s="42"/>
      <c r="P342" s="43"/>
      <c r="Q342" s="43"/>
      <c r="R342" s="43"/>
      <c r="S342" s="44"/>
      <c r="T342" s="186"/>
    </row>
    <row r="343" spans="2:20" ht="15" x14ac:dyDescent="0.2">
      <c r="B343" s="32" t="str">
        <f t="shared" si="56"/>
        <v>תכניות/פרקים</v>
      </c>
      <c r="C343" s="45" t="str">
        <f>'מק"ט'!$C$3&amp;VLOOKUP(G343,'מק"ט'!$D$2:$E$9,2,FALSE)&amp;VLOOKUP(E343,'מק"ט'!$F$2:$G$9,2,FALSE)&amp;D343</f>
        <v>76110627</v>
      </c>
      <c r="D343" s="62">
        <v>27</v>
      </c>
      <c r="E343" s="91" t="s">
        <v>117</v>
      </c>
      <c r="F343" s="92" t="s">
        <v>240</v>
      </c>
      <c r="G343" s="55" t="s">
        <v>25</v>
      </c>
      <c r="H343" s="49"/>
      <c r="I343" s="49"/>
      <c r="J343" s="75"/>
      <c r="K343" s="51" t="s">
        <v>243</v>
      </c>
      <c r="L343" s="227">
        <f t="shared" si="35"/>
        <v>345</v>
      </c>
      <c r="O343" s="42">
        <f>IFERROR(VLOOKUP(C343,תקציב!$D$22:$J$177,6,0),0)</f>
        <v>0</v>
      </c>
      <c r="P343" s="43">
        <f>IFERROR(VLOOKUP(C343,תקציב!$D$22:$J$177,5,0),0)</f>
        <v>0</v>
      </c>
      <c r="Q343" s="43">
        <f>IF(ISNUMBER(VLOOKUP(C343,תקציב!$D$22:$J$177,3,FALSE)),VLOOKUP(C343,תקציב!$D$22:$J$177,3,FALSE),1)</f>
        <v>1</v>
      </c>
      <c r="R343" s="43">
        <f t="shared" si="53"/>
        <v>0</v>
      </c>
      <c r="S343" s="44">
        <f t="shared" si="54"/>
        <v>0</v>
      </c>
      <c r="T343" s="186">
        <f>IFERROR(VLOOKUP(C343,תקציב!$D$22:$K$177,7,FALSE),0)-S343</f>
        <v>0</v>
      </c>
    </row>
    <row r="344" spans="2:20" ht="15" x14ac:dyDescent="0.2">
      <c r="B344" s="32" t="str">
        <f t="shared" si="56"/>
        <v>ימים</v>
      </c>
      <c r="C344" s="45" t="str">
        <f>'מק"ט'!$C$3&amp;VLOOKUP(G344,'מק"ט'!$D$2:$E$9,2,FALSE)&amp;VLOOKUP(E344,'מק"ט'!$F$2:$G$9,2,FALSE)&amp;D344</f>
        <v>76120627</v>
      </c>
      <c r="D344" s="62">
        <v>27</v>
      </c>
      <c r="E344" s="91" t="s">
        <v>117</v>
      </c>
      <c r="F344" s="92" t="s">
        <v>240</v>
      </c>
      <c r="G344" s="55" t="s">
        <v>21</v>
      </c>
      <c r="H344" s="49"/>
      <c r="I344" s="49"/>
      <c r="J344" s="75"/>
      <c r="K344" s="51" t="s">
        <v>243</v>
      </c>
      <c r="L344" s="227">
        <f t="shared" si="35"/>
        <v>345</v>
      </c>
      <c r="O344" s="42">
        <f>IFERROR(VLOOKUP(C344,תקציב!$D$22:$J$177,6,0),0)</f>
        <v>0</v>
      </c>
      <c r="P344" s="43">
        <f>IFERROR(VLOOKUP(C344,תקציב!$D$22:$J$177,5,0),0)</f>
        <v>0</v>
      </c>
      <c r="Q344" s="43">
        <f>IF(ISNUMBER(VLOOKUP(C344,תקציב!$D$22:$J$177,3,FALSE)),VLOOKUP(C344,תקציב!$D$22:$J$177,3,FALSE),1)</f>
        <v>1</v>
      </c>
      <c r="R344" s="43">
        <f t="shared" si="53"/>
        <v>0</v>
      </c>
      <c r="S344" s="44">
        <f t="shared" si="54"/>
        <v>0</v>
      </c>
      <c r="T344" s="186">
        <f>IFERROR(VLOOKUP(C344,תקציב!$D$22:$K$177,7,FALSE),0)-S344</f>
        <v>0</v>
      </c>
    </row>
    <row r="345" spans="2:20" ht="15" x14ac:dyDescent="0.2">
      <c r="B345" s="32" t="str">
        <f t="shared" ref="B345:B347" si="68">G345</f>
        <v>שבועות</v>
      </c>
      <c r="C345" s="45" t="str">
        <f>'מק"ט'!$C$3&amp;VLOOKUP(G345,'מק"ט'!$D$2:$E$9,2,FALSE)&amp;VLOOKUP(E345,'מק"ט'!$F$2:$G$9,2,FALSE)&amp;D345</f>
        <v>76130627</v>
      </c>
      <c r="D345" s="62">
        <v>27</v>
      </c>
      <c r="E345" s="91" t="s">
        <v>117</v>
      </c>
      <c r="F345" s="92" t="s">
        <v>240</v>
      </c>
      <c r="G345" s="55" t="s">
        <v>26</v>
      </c>
      <c r="H345" s="49"/>
      <c r="I345" s="49"/>
      <c r="J345" s="75"/>
      <c r="K345" s="51"/>
      <c r="L345" s="227">
        <f t="shared" si="35"/>
        <v>345</v>
      </c>
      <c r="O345" s="42"/>
      <c r="P345" s="43"/>
      <c r="Q345" s="43"/>
      <c r="R345" s="43"/>
      <c r="S345" s="44"/>
      <c r="T345" s="186"/>
    </row>
    <row r="346" spans="2:20" ht="15" x14ac:dyDescent="0.2">
      <c r="B346" s="32" t="str">
        <f t="shared" si="68"/>
        <v>חודשים</v>
      </c>
      <c r="C346" s="45" t="str">
        <f>'מק"ט'!$C$3&amp;VLOOKUP(G346,'מק"ט'!$D$2:$E$9,2,FALSE)&amp;VLOOKUP(E346,'מק"ט'!$F$2:$G$9,2,FALSE)&amp;D346</f>
        <v>76140627</v>
      </c>
      <c r="D346" s="62">
        <v>27</v>
      </c>
      <c r="E346" s="91" t="s">
        <v>117</v>
      </c>
      <c r="F346" s="92" t="s">
        <v>240</v>
      </c>
      <c r="G346" s="55" t="s">
        <v>24</v>
      </c>
      <c r="H346" s="49"/>
      <c r="I346" s="49"/>
      <c r="J346" s="75"/>
      <c r="K346" s="51"/>
      <c r="L346" s="227">
        <f t="shared" si="35"/>
        <v>345</v>
      </c>
      <c r="O346" s="42"/>
      <c r="P346" s="43"/>
      <c r="Q346" s="43"/>
      <c r="R346" s="43"/>
      <c r="S346" s="44"/>
      <c r="T346" s="186"/>
    </row>
    <row r="347" spans="2:20" ht="15" x14ac:dyDescent="0.2">
      <c r="B347" s="32" t="str">
        <f t="shared" si="68"/>
        <v>עונתי גלובלי</v>
      </c>
      <c r="C347" s="45" t="str">
        <f>'מק"ט'!$C$3&amp;VLOOKUP(G347,'מק"ט'!$D$2:$E$9,2,FALSE)&amp;VLOOKUP(E347,'מק"ט'!$F$2:$G$9,2,FALSE)&amp;D347</f>
        <v>76150627</v>
      </c>
      <c r="D347" s="62">
        <v>27</v>
      </c>
      <c r="E347" s="91" t="s">
        <v>117</v>
      </c>
      <c r="F347" s="92" t="s">
        <v>240</v>
      </c>
      <c r="G347" s="55" t="s">
        <v>23</v>
      </c>
      <c r="H347" s="49"/>
      <c r="I347" s="49"/>
      <c r="J347" s="75"/>
      <c r="K347" s="51"/>
      <c r="L347" s="227">
        <f t="shared" si="35"/>
        <v>345</v>
      </c>
      <c r="O347" s="42"/>
      <c r="P347" s="43"/>
      <c r="Q347" s="43"/>
      <c r="R347" s="43"/>
      <c r="S347" s="44"/>
      <c r="T347" s="186"/>
    </row>
    <row r="348" spans="2:20" ht="15" x14ac:dyDescent="0.2">
      <c r="B348" s="32" t="str">
        <f t="shared" si="56"/>
        <v>תכניות/פרקים</v>
      </c>
      <c r="C348" s="45" t="str">
        <f>'מק"ט'!$C$3&amp;VLOOKUP(G348,'מק"ט'!$D$2:$E$9,2,FALSE)&amp;VLOOKUP(E348,'מק"ט'!$F$2:$G$9,2,FALSE)&amp;D348</f>
        <v>76110600</v>
      </c>
      <c r="D348" s="190" t="s">
        <v>174</v>
      </c>
      <c r="E348" s="91" t="s">
        <v>117</v>
      </c>
      <c r="F348" s="92" t="s">
        <v>223</v>
      </c>
      <c r="G348" s="55" t="s">
        <v>25</v>
      </c>
      <c r="H348" s="49"/>
      <c r="I348" s="49"/>
      <c r="J348" s="75"/>
      <c r="K348" s="51"/>
      <c r="L348" s="227">
        <f t="shared" si="35"/>
        <v>350</v>
      </c>
      <c r="O348" s="42">
        <f>IFERROR(VLOOKUP(C348,תקציב!$D$22:$J$177,6,0),0)</f>
        <v>0</v>
      </c>
      <c r="P348" s="43">
        <f>IFERROR(VLOOKUP(C348,תקציב!$D$22:$J$177,5,0),0)</f>
        <v>0</v>
      </c>
      <c r="Q348" s="43">
        <f>IF(ISNUMBER(VLOOKUP(C348,תקציב!$D$22:$J$177,3,FALSE)),VLOOKUP(C348,תקציב!$D$22:$J$177,3,FALSE),1)</f>
        <v>1</v>
      </c>
      <c r="R348" s="43">
        <f>IFERROR((P348*Q348),0)</f>
        <v>0</v>
      </c>
      <c r="S348" s="44">
        <f>O348*R348</f>
        <v>0</v>
      </c>
      <c r="T348" s="186">
        <f>IFERROR(VLOOKUP(C348,תקציב!$D$22:$K$177,7,FALSE),0)-S348</f>
        <v>0</v>
      </c>
    </row>
    <row r="349" spans="2:20" ht="15" x14ac:dyDescent="0.2">
      <c r="B349" s="32" t="str">
        <f t="shared" si="56"/>
        <v>ימים</v>
      </c>
      <c r="C349" s="45" t="str">
        <f>'מק"ט'!$C$3&amp;VLOOKUP(G349,'מק"ט'!$D$2:$E$9,2,FALSE)&amp;VLOOKUP(E349,'מק"ט'!$F$2:$G$9,2,FALSE)&amp;D349</f>
        <v>76120600</v>
      </c>
      <c r="D349" s="190" t="s">
        <v>174</v>
      </c>
      <c r="E349" s="91" t="s">
        <v>117</v>
      </c>
      <c r="F349" s="92" t="s">
        <v>223</v>
      </c>
      <c r="G349" s="55" t="s">
        <v>21</v>
      </c>
      <c r="H349" s="49"/>
      <c r="I349" s="49"/>
      <c r="J349" s="75"/>
      <c r="K349" s="51"/>
      <c r="L349" s="227">
        <f t="shared" si="35"/>
        <v>350</v>
      </c>
      <c r="O349" s="42">
        <f>IFERROR(VLOOKUP(C349,תקציב!$D$22:$J$177,6,0),0)</f>
        <v>0</v>
      </c>
      <c r="P349" s="43">
        <f>IFERROR(VLOOKUP(C349,תקציב!$D$22:$J$177,5,0),0)</f>
        <v>0</v>
      </c>
      <c r="Q349" s="43">
        <f>IF(ISNUMBER(VLOOKUP(C349,תקציב!$D$22:$J$177,3,FALSE)),VLOOKUP(C349,תקציב!$D$22:$J$177,3,FALSE),1)</f>
        <v>1</v>
      </c>
      <c r="R349" s="43">
        <f t="shared" ref="R349:R350" si="69">IFERROR((P349*Q349),0)</f>
        <v>0</v>
      </c>
      <c r="S349" s="44">
        <f t="shared" ref="S349:S350" si="70">O349*R349</f>
        <v>0</v>
      </c>
      <c r="T349" s="186">
        <f>IFERROR(VLOOKUP(C349,תקציב!$D$22:$K$177,7,FALSE),0)-S349</f>
        <v>0</v>
      </c>
    </row>
    <row r="350" spans="2:20" ht="15" x14ac:dyDescent="0.2">
      <c r="B350" s="32" t="str">
        <f t="shared" si="56"/>
        <v>שבועות</v>
      </c>
      <c r="C350" s="45" t="str">
        <f>'מק"ט'!$C$3&amp;VLOOKUP(G350,'מק"ט'!$D$2:$E$9,2,FALSE)&amp;VLOOKUP(E350,'מק"ט'!$F$2:$G$9,2,FALSE)&amp;D350</f>
        <v>76130600</v>
      </c>
      <c r="D350" s="190" t="s">
        <v>174</v>
      </c>
      <c r="E350" s="91" t="s">
        <v>117</v>
      </c>
      <c r="F350" s="92" t="s">
        <v>223</v>
      </c>
      <c r="G350" s="55" t="s">
        <v>26</v>
      </c>
      <c r="H350" s="49"/>
      <c r="I350" s="49"/>
      <c r="J350" s="75"/>
      <c r="K350" s="51"/>
      <c r="L350" s="227">
        <f t="shared" si="35"/>
        <v>350</v>
      </c>
      <c r="O350" s="42">
        <f>IFERROR(VLOOKUP(C350,תקציב!$D$22:$J$177,6,0),0)</f>
        <v>0</v>
      </c>
      <c r="P350" s="43">
        <f>IFERROR(VLOOKUP(C350,תקציב!$D$22:$J$177,5,0),0)</f>
        <v>0</v>
      </c>
      <c r="Q350" s="43">
        <f>IF(ISNUMBER(VLOOKUP(C350,תקציב!$D$22:$J$177,3,FALSE)),VLOOKUP(C350,תקציב!$D$22:$J$177,3,FALSE),1)</f>
        <v>1</v>
      </c>
      <c r="R350" s="43">
        <f t="shared" si="69"/>
        <v>0</v>
      </c>
      <c r="S350" s="44">
        <f t="shared" si="70"/>
        <v>0</v>
      </c>
      <c r="T350" s="186">
        <f>IFERROR(VLOOKUP(C350,תקציב!$D$22:$K$177,7,FALSE),0)-S350</f>
        <v>0</v>
      </c>
    </row>
    <row r="351" spans="2:20" ht="15" x14ac:dyDescent="0.2">
      <c r="B351" s="32" t="str">
        <f t="shared" ref="B351:B352" si="71">G351</f>
        <v>חודשים</v>
      </c>
      <c r="C351" s="45" t="str">
        <f>'מק"ט'!$C$3&amp;VLOOKUP(G351,'מק"ט'!$D$2:$E$9,2,FALSE)&amp;VLOOKUP(E351,'מק"ט'!$F$2:$G$9,2,FALSE)&amp;D351</f>
        <v>76140600</v>
      </c>
      <c r="D351" s="190" t="s">
        <v>174</v>
      </c>
      <c r="E351" s="91" t="s">
        <v>117</v>
      </c>
      <c r="F351" s="92" t="s">
        <v>223</v>
      </c>
      <c r="G351" s="55" t="s">
        <v>24</v>
      </c>
      <c r="H351" s="49"/>
      <c r="I351" s="49"/>
      <c r="J351" s="75"/>
      <c r="K351" s="51"/>
      <c r="L351" s="227">
        <f t="shared" si="35"/>
        <v>350</v>
      </c>
      <c r="O351" s="42"/>
      <c r="P351" s="43"/>
      <c r="Q351" s="43"/>
      <c r="R351" s="43"/>
      <c r="S351" s="44"/>
      <c r="T351" s="186"/>
    </row>
    <row r="352" spans="2:20" ht="15" x14ac:dyDescent="0.2">
      <c r="B352" s="32" t="str">
        <f t="shared" si="71"/>
        <v>עונתי גלובלי</v>
      </c>
      <c r="C352" s="45" t="str">
        <f>'מק"ט'!$C$3&amp;VLOOKUP(G352,'מק"ט'!$D$2:$E$9,2,FALSE)&amp;VLOOKUP(E352,'מק"ט'!$F$2:$G$9,2,FALSE)&amp;D352</f>
        <v>76150600</v>
      </c>
      <c r="D352" s="190" t="s">
        <v>174</v>
      </c>
      <c r="E352" s="91" t="s">
        <v>117</v>
      </c>
      <c r="F352" s="92" t="s">
        <v>223</v>
      </c>
      <c r="G352" s="55" t="s">
        <v>23</v>
      </c>
      <c r="H352" s="49"/>
      <c r="I352" s="49"/>
      <c r="J352" s="75"/>
      <c r="K352" s="51"/>
      <c r="L352" s="227">
        <f t="shared" ref="L352:L415" si="72">IF(F352=F351,L351,L351+5)</f>
        <v>350</v>
      </c>
      <c r="O352" s="42"/>
      <c r="P352" s="43"/>
      <c r="Q352" s="43"/>
      <c r="R352" s="43"/>
      <c r="S352" s="44"/>
      <c r="T352" s="186"/>
    </row>
    <row r="353" spans="2:20" ht="15" x14ac:dyDescent="0.2">
      <c r="B353" s="32" t="str">
        <f t="shared" si="56"/>
        <v>תכניות/פרקים</v>
      </c>
      <c r="C353" s="45" t="str">
        <f>'מק"ט'!$C$3&amp;VLOOKUP(G353,'מק"ט'!$D$2:$E$9,2,FALSE)&amp;VLOOKUP(E353,'מק"ט'!$F$2:$G$9,2,FALSE)&amp;D353</f>
        <v>76110602</v>
      </c>
      <c r="D353" s="58" t="s">
        <v>163</v>
      </c>
      <c r="E353" s="91" t="s">
        <v>117</v>
      </c>
      <c r="F353" s="92" t="s">
        <v>224</v>
      </c>
      <c r="G353" s="55" t="s">
        <v>25</v>
      </c>
      <c r="H353" s="49"/>
      <c r="I353" s="49"/>
      <c r="J353" s="75"/>
      <c r="K353" s="51"/>
      <c r="L353" s="227">
        <f t="shared" si="72"/>
        <v>355</v>
      </c>
      <c r="O353" s="42">
        <f>IFERROR(VLOOKUP(C353,תקציב!$D$22:$J$177,6,0),0)</f>
        <v>0</v>
      </c>
      <c r="P353" s="43">
        <f>IFERROR(VLOOKUP(C353,תקציב!$D$22:$J$177,5,0),0)</f>
        <v>0</v>
      </c>
      <c r="Q353" s="43">
        <f>IF(ISNUMBER(VLOOKUP(C353,תקציב!$D$22:$J$177,3,FALSE)),VLOOKUP(C353,תקציב!$D$22:$J$177,3,FALSE),1)</f>
        <v>1</v>
      </c>
      <c r="R353" s="43">
        <f t="shared" ref="R353" si="73">IFERROR((P353*Q353),0)</f>
        <v>0</v>
      </c>
      <c r="S353" s="44">
        <f t="shared" ref="S353" si="74">O353*R353</f>
        <v>0</v>
      </c>
      <c r="T353" s="186">
        <f>IFERROR(VLOOKUP(C353,תקציב!$D$22:$K$177,7,FALSE),0)-S353</f>
        <v>0</v>
      </c>
    </row>
    <row r="354" spans="2:20" ht="15" x14ac:dyDescent="0.2">
      <c r="B354" s="32" t="str">
        <f t="shared" ref="B354:B355" si="75">G354</f>
        <v>ימים</v>
      </c>
      <c r="C354" s="45" t="str">
        <f>'מק"ט'!$C$3&amp;VLOOKUP(G354,'מק"ט'!$D$2:$E$9,2,FALSE)&amp;VLOOKUP(E354,'מק"ט'!$F$2:$G$9,2,FALSE)&amp;D354</f>
        <v>76120602</v>
      </c>
      <c r="D354" s="58" t="s">
        <v>163</v>
      </c>
      <c r="E354" s="91" t="s">
        <v>117</v>
      </c>
      <c r="F354" s="92" t="s">
        <v>224</v>
      </c>
      <c r="G354" s="55" t="s">
        <v>21</v>
      </c>
      <c r="H354" s="49"/>
      <c r="I354" s="49"/>
      <c r="J354" s="75"/>
      <c r="K354" s="51"/>
      <c r="L354" s="227">
        <f t="shared" si="72"/>
        <v>355</v>
      </c>
      <c r="O354" s="42"/>
      <c r="P354" s="43"/>
      <c r="Q354" s="43"/>
      <c r="R354" s="43"/>
      <c r="S354" s="44"/>
      <c r="T354" s="186"/>
    </row>
    <row r="355" spans="2:20" ht="15" x14ac:dyDescent="0.2">
      <c r="B355" s="32" t="str">
        <f t="shared" si="75"/>
        <v>שבועות</v>
      </c>
      <c r="C355" s="45" t="str">
        <f>'מק"ט'!$C$3&amp;VLOOKUP(G355,'מק"ט'!$D$2:$E$9,2,FALSE)&amp;VLOOKUP(E355,'מק"ט'!$F$2:$G$9,2,FALSE)&amp;D355</f>
        <v>76130602</v>
      </c>
      <c r="D355" s="58" t="s">
        <v>163</v>
      </c>
      <c r="E355" s="91" t="s">
        <v>117</v>
      </c>
      <c r="F355" s="92" t="s">
        <v>224</v>
      </c>
      <c r="G355" s="55" t="s">
        <v>26</v>
      </c>
      <c r="H355" s="49"/>
      <c r="I355" s="49"/>
      <c r="J355" s="75"/>
      <c r="K355" s="51"/>
      <c r="L355" s="227">
        <f t="shared" si="72"/>
        <v>355</v>
      </c>
      <c r="O355" s="42"/>
      <c r="P355" s="43"/>
      <c r="Q355" s="43"/>
      <c r="R355" s="43"/>
      <c r="S355" s="44"/>
      <c r="T355" s="186"/>
    </row>
    <row r="356" spans="2:20" ht="15" x14ac:dyDescent="0.2">
      <c r="B356" s="32" t="str">
        <f t="shared" ref="B356:B357" si="76">G356</f>
        <v>חודשים</v>
      </c>
      <c r="C356" s="45" t="str">
        <f>'מק"ט'!$C$3&amp;VLOOKUP(G356,'מק"ט'!$D$2:$E$9,2,FALSE)&amp;VLOOKUP(E356,'מק"ט'!$F$2:$G$9,2,FALSE)&amp;D356</f>
        <v>76140602</v>
      </c>
      <c r="D356" s="58" t="s">
        <v>163</v>
      </c>
      <c r="E356" s="91" t="s">
        <v>117</v>
      </c>
      <c r="F356" s="92" t="s">
        <v>224</v>
      </c>
      <c r="G356" s="55" t="s">
        <v>24</v>
      </c>
      <c r="H356" s="49"/>
      <c r="I356" s="49"/>
      <c r="J356" s="75"/>
      <c r="K356" s="51"/>
      <c r="L356" s="227">
        <f t="shared" si="72"/>
        <v>355</v>
      </c>
      <c r="O356" s="42"/>
      <c r="P356" s="43"/>
      <c r="Q356" s="43"/>
      <c r="R356" s="43"/>
      <c r="S356" s="44"/>
      <c r="T356" s="186"/>
    </row>
    <row r="357" spans="2:20" ht="15" x14ac:dyDescent="0.2">
      <c r="B357" s="32" t="str">
        <f t="shared" si="76"/>
        <v>עונתי גלובלי</v>
      </c>
      <c r="C357" s="45" t="str">
        <f>'מק"ט'!$C$3&amp;VLOOKUP(G357,'מק"ט'!$D$2:$E$9,2,FALSE)&amp;VLOOKUP(E357,'מק"ט'!$F$2:$G$9,2,FALSE)&amp;D357</f>
        <v>76150602</v>
      </c>
      <c r="D357" s="58" t="s">
        <v>163</v>
      </c>
      <c r="E357" s="91" t="s">
        <v>117</v>
      </c>
      <c r="F357" s="92" t="s">
        <v>224</v>
      </c>
      <c r="G357" s="55" t="s">
        <v>23</v>
      </c>
      <c r="H357" s="49"/>
      <c r="I357" s="49"/>
      <c r="J357" s="75"/>
      <c r="K357" s="51"/>
      <c r="L357" s="227">
        <f t="shared" si="72"/>
        <v>355</v>
      </c>
      <c r="O357" s="42"/>
      <c r="P357" s="43"/>
      <c r="Q357" s="43"/>
      <c r="R357" s="43"/>
      <c r="S357" s="44"/>
      <c r="T357" s="186"/>
    </row>
    <row r="358" spans="2:20" ht="15" x14ac:dyDescent="0.2">
      <c r="B358" s="32" t="str">
        <f t="shared" si="56"/>
        <v>תכניות/פרקים</v>
      </c>
      <c r="C358" s="45" t="str">
        <f>'מק"ט'!$C$3&amp;VLOOKUP(G358,'מק"ט'!$D$2:$E$9,2,FALSE)&amp;VLOOKUP(E358,'מק"ט'!$F$2:$G$9,2,FALSE)&amp;D358</f>
        <v>76110611</v>
      </c>
      <c r="D358" s="196">
        <v>11</v>
      </c>
      <c r="E358" s="197" t="s">
        <v>117</v>
      </c>
      <c r="F358" s="198" t="s">
        <v>106</v>
      </c>
      <c r="G358" s="55" t="s">
        <v>25</v>
      </c>
      <c r="H358" s="199"/>
      <c r="I358" s="199"/>
      <c r="J358" s="200"/>
      <c r="K358" s="201"/>
      <c r="L358" s="227">
        <f t="shared" si="72"/>
        <v>360</v>
      </c>
      <c r="O358" s="42">
        <f>IFERROR(VLOOKUP(C358,תקציב!$D$22:$J$177,6,0),0)</f>
        <v>0</v>
      </c>
      <c r="P358" s="43">
        <f>IFERROR(VLOOKUP(C358,תקציב!$D$22:$J$177,5,0),0)</f>
        <v>0</v>
      </c>
      <c r="Q358" s="43">
        <f>IF(ISNUMBER(VLOOKUP(C358,תקציב!$D$22:$J$177,3,FALSE)),VLOOKUP(C358,תקציב!$D$22:$J$177,3,FALSE),1)</f>
        <v>1</v>
      </c>
      <c r="R358" s="43">
        <f>IFERROR((P358*Q358),0)</f>
        <v>0</v>
      </c>
      <c r="S358" s="44">
        <f>O358*R358</f>
        <v>0</v>
      </c>
      <c r="T358" s="186">
        <f>IFERROR(VLOOKUP(C358,תקציב!$D$22:$K$177,7,FALSE),0)-S358</f>
        <v>0</v>
      </c>
    </row>
    <row r="359" spans="2:20" ht="15" x14ac:dyDescent="0.2">
      <c r="B359" s="32" t="str">
        <f t="shared" si="56"/>
        <v>ימים</v>
      </c>
      <c r="C359" s="45" t="str">
        <f>'מק"ט'!$C$3&amp;VLOOKUP(G359,'מק"ט'!$D$2:$E$9,2,FALSE)&amp;VLOOKUP(E359,'מק"ט'!$F$2:$G$9,2,FALSE)&amp;D359</f>
        <v>76120611</v>
      </c>
      <c r="D359" s="196">
        <v>11</v>
      </c>
      <c r="E359" s="197" t="s">
        <v>117</v>
      </c>
      <c r="F359" s="198" t="s">
        <v>106</v>
      </c>
      <c r="G359" s="55" t="s">
        <v>21</v>
      </c>
      <c r="H359" s="199"/>
      <c r="I359" s="199"/>
      <c r="J359" s="200"/>
      <c r="K359" s="201"/>
      <c r="L359" s="227">
        <f t="shared" si="72"/>
        <v>360</v>
      </c>
      <c r="O359" s="42">
        <f>IFERROR(VLOOKUP(C359,תקציב!$D$22:$J$177,6,0),0)</f>
        <v>0</v>
      </c>
      <c r="P359" s="43">
        <f>IFERROR(VLOOKUP(C359,תקציב!$D$22:$J$177,5,0),0)</f>
        <v>0</v>
      </c>
      <c r="Q359" s="43">
        <f>IF(ISNUMBER(VLOOKUP(C359,תקציב!$D$22:$J$177,3,FALSE)),VLOOKUP(C359,תקציב!$D$22:$J$177,3,FALSE),1)</f>
        <v>1</v>
      </c>
      <c r="R359" s="43">
        <f t="shared" ref="R359:R531" si="77">IFERROR((P359*Q359),0)</f>
        <v>0</v>
      </c>
      <c r="S359" s="44">
        <f t="shared" ref="S359:S531" si="78">O359*R359</f>
        <v>0</v>
      </c>
      <c r="T359" s="186">
        <f>IFERROR(VLOOKUP(C359,תקציב!$D$22:$K$177,7,FALSE),0)-S359</f>
        <v>0</v>
      </c>
    </row>
    <row r="360" spans="2:20" ht="15" x14ac:dyDescent="0.2">
      <c r="B360" s="32" t="str">
        <f t="shared" ref="B360:B362" si="79">G360</f>
        <v>שבועות</v>
      </c>
      <c r="C360" s="45" t="str">
        <f>'מק"ט'!$C$3&amp;VLOOKUP(G360,'מק"ט'!$D$2:$E$9,2,FALSE)&amp;VLOOKUP(E360,'מק"ט'!$F$2:$G$9,2,FALSE)&amp;D360</f>
        <v>76130611</v>
      </c>
      <c r="D360" s="196">
        <v>11</v>
      </c>
      <c r="E360" s="197" t="s">
        <v>117</v>
      </c>
      <c r="F360" s="198" t="s">
        <v>106</v>
      </c>
      <c r="G360" s="55" t="s">
        <v>26</v>
      </c>
      <c r="H360" s="199"/>
      <c r="I360" s="199"/>
      <c r="J360" s="200"/>
      <c r="K360" s="201"/>
      <c r="L360" s="227">
        <f t="shared" si="72"/>
        <v>360</v>
      </c>
      <c r="O360" s="42"/>
      <c r="P360" s="43"/>
      <c r="Q360" s="43"/>
      <c r="R360" s="43"/>
      <c r="S360" s="44"/>
      <c r="T360" s="186"/>
    </row>
    <row r="361" spans="2:20" ht="15" x14ac:dyDescent="0.2">
      <c r="B361" s="32" t="str">
        <f t="shared" si="79"/>
        <v>חודשים</v>
      </c>
      <c r="C361" s="45" t="str">
        <f>'מק"ט'!$C$3&amp;VLOOKUP(G361,'מק"ט'!$D$2:$E$9,2,FALSE)&amp;VLOOKUP(E361,'מק"ט'!$F$2:$G$9,2,FALSE)&amp;D361</f>
        <v>76140611</v>
      </c>
      <c r="D361" s="196">
        <v>11</v>
      </c>
      <c r="E361" s="197" t="s">
        <v>117</v>
      </c>
      <c r="F361" s="198" t="s">
        <v>106</v>
      </c>
      <c r="G361" s="55" t="s">
        <v>24</v>
      </c>
      <c r="H361" s="199"/>
      <c r="I361" s="199"/>
      <c r="J361" s="200"/>
      <c r="K361" s="201"/>
      <c r="L361" s="227">
        <f t="shared" si="72"/>
        <v>360</v>
      </c>
      <c r="O361" s="42"/>
      <c r="P361" s="43"/>
      <c r="Q361" s="43"/>
      <c r="R361" s="43"/>
      <c r="S361" s="44"/>
      <c r="T361" s="186"/>
    </row>
    <row r="362" spans="2:20" ht="15" x14ac:dyDescent="0.2">
      <c r="B362" s="32" t="str">
        <f t="shared" si="79"/>
        <v>עונתי גלובלי</v>
      </c>
      <c r="C362" s="45" t="str">
        <f>'מק"ט'!$C$3&amp;VLOOKUP(G362,'מק"ט'!$D$2:$E$9,2,FALSE)&amp;VLOOKUP(E362,'מק"ט'!$F$2:$G$9,2,FALSE)&amp;D362</f>
        <v>76150611</v>
      </c>
      <c r="D362" s="196">
        <v>11</v>
      </c>
      <c r="E362" s="197" t="s">
        <v>117</v>
      </c>
      <c r="F362" s="198" t="s">
        <v>106</v>
      </c>
      <c r="G362" s="55" t="s">
        <v>23</v>
      </c>
      <c r="H362" s="199"/>
      <c r="I362" s="199"/>
      <c r="J362" s="200"/>
      <c r="K362" s="201"/>
      <c r="L362" s="227">
        <f t="shared" si="72"/>
        <v>360</v>
      </c>
      <c r="O362" s="42"/>
      <c r="P362" s="43"/>
      <c r="Q362" s="43"/>
      <c r="R362" s="43"/>
      <c r="S362" s="44"/>
      <c r="T362" s="186"/>
    </row>
    <row r="363" spans="2:20" ht="15" x14ac:dyDescent="0.2">
      <c r="B363" s="32" t="str">
        <f t="shared" si="56"/>
        <v>תכניות/פרקים</v>
      </c>
      <c r="C363" s="45" t="str">
        <f>'מק"ט'!$C$3&amp;VLOOKUP(G363,'מק"ט'!$D$2:$E$9,2,FALSE)&amp;VLOOKUP(E363,'מק"ט'!$F$2:$G$9,2,FALSE)&amp;D363</f>
        <v>76110612</v>
      </c>
      <c r="D363" s="62">
        <v>12</v>
      </c>
      <c r="E363" s="91" t="s">
        <v>117</v>
      </c>
      <c r="F363" s="104" t="s">
        <v>107</v>
      </c>
      <c r="G363" s="55" t="s">
        <v>25</v>
      </c>
      <c r="H363" s="49"/>
      <c r="I363" s="49"/>
      <c r="J363" s="75"/>
      <c r="K363" s="51"/>
      <c r="L363" s="227">
        <f t="shared" si="72"/>
        <v>365</v>
      </c>
      <c r="O363" s="42">
        <f>IFERROR(VLOOKUP(C363,תקציב!$D$22:$J$177,6,0),0)</f>
        <v>0</v>
      </c>
      <c r="P363" s="43">
        <f>IFERROR(VLOOKUP(C363,תקציב!$D$22:$J$177,5,0),0)</f>
        <v>0</v>
      </c>
      <c r="Q363" s="43">
        <f>IF(ISNUMBER(VLOOKUP(C363,תקציב!$D$22:$J$177,3,FALSE)),VLOOKUP(C363,תקציב!$D$22:$J$177,3,FALSE),1)</f>
        <v>1</v>
      </c>
      <c r="R363" s="43">
        <f t="shared" si="77"/>
        <v>0</v>
      </c>
      <c r="S363" s="44">
        <f t="shared" si="78"/>
        <v>0</v>
      </c>
      <c r="T363" s="186">
        <f>IFERROR(VLOOKUP(C363,תקציב!$D$22:$K$177,7,FALSE),0)-S363</f>
        <v>0</v>
      </c>
    </row>
    <row r="364" spans="2:20" ht="15" x14ac:dyDescent="0.2">
      <c r="B364" s="32" t="str">
        <f t="shared" si="56"/>
        <v>ימים</v>
      </c>
      <c r="C364" s="45" t="str">
        <f>'מק"ט'!$C$3&amp;VLOOKUP(G364,'מק"ט'!$D$2:$E$9,2,FALSE)&amp;VLOOKUP(E364,'מק"ט'!$F$2:$G$9,2,FALSE)&amp;D364</f>
        <v>76120612</v>
      </c>
      <c r="D364" s="62">
        <v>12</v>
      </c>
      <c r="E364" s="91" t="s">
        <v>117</v>
      </c>
      <c r="F364" s="104" t="s">
        <v>107</v>
      </c>
      <c r="G364" s="55" t="s">
        <v>21</v>
      </c>
      <c r="H364" s="49"/>
      <c r="I364" s="49"/>
      <c r="J364" s="75"/>
      <c r="K364" s="51"/>
      <c r="L364" s="227">
        <f t="shared" si="72"/>
        <v>365</v>
      </c>
      <c r="O364" s="42">
        <f>IFERROR(VLOOKUP(C364,תקציב!$D$22:$J$177,6,0),0)</f>
        <v>0</v>
      </c>
      <c r="P364" s="43">
        <f>IFERROR(VLOOKUP(C364,תקציב!$D$22:$J$177,5,0),0)</f>
        <v>0</v>
      </c>
      <c r="Q364" s="43">
        <f>IF(ISNUMBER(VLOOKUP(C364,תקציב!$D$22:$J$177,3,FALSE)),VLOOKUP(C364,תקציב!$D$22:$J$177,3,FALSE),1)</f>
        <v>1</v>
      </c>
      <c r="R364" s="43">
        <f t="shared" si="77"/>
        <v>0</v>
      </c>
      <c r="S364" s="44">
        <f t="shared" si="78"/>
        <v>0</v>
      </c>
      <c r="T364" s="186">
        <f>IFERROR(VLOOKUP(C364,תקציב!$D$22:$K$177,7,FALSE),0)-S364</f>
        <v>0</v>
      </c>
    </row>
    <row r="365" spans="2:20" ht="15" x14ac:dyDescent="0.2">
      <c r="B365" s="32" t="str">
        <f t="shared" ref="B365:B367" si="80">G365</f>
        <v>שבועות</v>
      </c>
      <c r="C365" s="45" t="str">
        <f>'מק"ט'!$C$3&amp;VLOOKUP(G365,'מק"ט'!$D$2:$E$9,2,FALSE)&amp;VLOOKUP(E365,'מק"ט'!$F$2:$G$9,2,FALSE)&amp;D365</f>
        <v>76130612</v>
      </c>
      <c r="D365" s="62">
        <v>12</v>
      </c>
      <c r="E365" s="91" t="s">
        <v>117</v>
      </c>
      <c r="F365" s="104" t="s">
        <v>107</v>
      </c>
      <c r="G365" s="55" t="s">
        <v>26</v>
      </c>
      <c r="H365" s="49"/>
      <c r="I365" s="49"/>
      <c r="J365" s="75"/>
      <c r="K365" s="51"/>
      <c r="L365" s="227">
        <f t="shared" si="72"/>
        <v>365</v>
      </c>
      <c r="O365" s="42"/>
      <c r="P365" s="43"/>
      <c r="Q365" s="43"/>
      <c r="R365" s="43"/>
      <c r="S365" s="44"/>
      <c r="T365" s="186"/>
    </row>
    <row r="366" spans="2:20" ht="15" x14ac:dyDescent="0.2">
      <c r="B366" s="32" t="str">
        <f t="shared" si="80"/>
        <v>חודשים</v>
      </c>
      <c r="C366" s="45" t="str">
        <f>'מק"ט'!$C$3&amp;VLOOKUP(G366,'מק"ט'!$D$2:$E$9,2,FALSE)&amp;VLOOKUP(E366,'מק"ט'!$F$2:$G$9,2,FALSE)&amp;D366</f>
        <v>76140612</v>
      </c>
      <c r="D366" s="62">
        <v>12</v>
      </c>
      <c r="E366" s="91" t="s">
        <v>117</v>
      </c>
      <c r="F366" s="104" t="s">
        <v>107</v>
      </c>
      <c r="G366" s="55" t="s">
        <v>24</v>
      </c>
      <c r="H366" s="49"/>
      <c r="I366" s="49"/>
      <c r="J366" s="75"/>
      <c r="K366" s="51"/>
      <c r="L366" s="227">
        <f t="shared" si="72"/>
        <v>365</v>
      </c>
      <c r="O366" s="42"/>
      <c r="P366" s="43"/>
      <c r="Q366" s="43"/>
      <c r="R366" s="43"/>
      <c r="S366" s="44"/>
      <c r="T366" s="186"/>
    </row>
    <row r="367" spans="2:20" ht="15" x14ac:dyDescent="0.2">
      <c r="B367" s="32" t="str">
        <f t="shared" si="80"/>
        <v>עונתי גלובלי</v>
      </c>
      <c r="C367" s="45" t="str">
        <f>'מק"ט'!$C$3&amp;VLOOKUP(G367,'מק"ט'!$D$2:$E$9,2,FALSE)&amp;VLOOKUP(E367,'מק"ט'!$F$2:$G$9,2,FALSE)&amp;D367</f>
        <v>76150612</v>
      </c>
      <c r="D367" s="62">
        <v>12</v>
      </c>
      <c r="E367" s="91" t="s">
        <v>117</v>
      </c>
      <c r="F367" s="104" t="s">
        <v>107</v>
      </c>
      <c r="G367" s="55" t="s">
        <v>23</v>
      </c>
      <c r="H367" s="49"/>
      <c r="I367" s="49"/>
      <c r="J367" s="75"/>
      <c r="K367" s="51"/>
      <c r="L367" s="227">
        <f t="shared" si="72"/>
        <v>365</v>
      </c>
      <c r="O367" s="42"/>
      <c r="P367" s="43"/>
      <c r="Q367" s="43"/>
      <c r="R367" s="43"/>
      <c r="S367" s="44"/>
      <c r="T367" s="186"/>
    </row>
    <row r="368" spans="2:20" ht="15" x14ac:dyDescent="0.2">
      <c r="B368" s="32" t="str">
        <f t="shared" si="56"/>
        <v>תכניות/פרקים</v>
      </c>
      <c r="C368" s="45" t="str">
        <f>'מק"ט'!$C$3&amp;VLOOKUP(G368,'מק"ט'!$D$2:$E$9,2,FALSE)&amp;VLOOKUP(E368,'מק"ט'!$F$2:$G$9,2,FALSE)&amp;D368</f>
        <v>76110613</v>
      </c>
      <c r="D368" s="196">
        <v>13</v>
      </c>
      <c r="E368" s="197" t="s">
        <v>117</v>
      </c>
      <c r="F368" s="202" t="s">
        <v>108</v>
      </c>
      <c r="G368" s="55" t="s">
        <v>25</v>
      </c>
      <c r="H368" s="199"/>
      <c r="I368" s="199"/>
      <c r="J368" s="200"/>
      <c r="K368" s="201"/>
      <c r="L368" s="227">
        <f t="shared" si="72"/>
        <v>370</v>
      </c>
      <c r="O368" s="42">
        <f>IFERROR(VLOOKUP(C368,תקציב!$D$22:$J$177,6,0),0)</f>
        <v>0</v>
      </c>
      <c r="P368" s="43">
        <f>IFERROR(VLOOKUP(C368,תקציב!$D$22:$J$177,5,0),0)</f>
        <v>0</v>
      </c>
      <c r="Q368" s="43">
        <f>IF(ISNUMBER(VLOOKUP(C368,תקציב!$D$22:$J$177,3,FALSE)),VLOOKUP(C368,תקציב!$D$22:$J$177,3,FALSE),1)</f>
        <v>1</v>
      </c>
      <c r="R368" s="43">
        <f t="shared" si="77"/>
        <v>0</v>
      </c>
      <c r="S368" s="44">
        <f t="shared" si="78"/>
        <v>0</v>
      </c>
      <c r="T368" s="186">
        <f>IFERROR(VLOOKUP(C368,תקציב!$D$22:$K$177,7,FALSE),0)-S368</f>
        <v>0</v>
      </c>
    </row>
    <row r="369" spans="2:20" ht="15" x14ac:dyDescent="0.2">
      <c r="B369" s="32" t="str">
        <f t="shared" si="56"/>
        <v>ימים</v>
      </c>
      <c r="C369" s="45" t="str">
        <f>'מק"ט'!$C$3&amp;VLOOKUP(G369,'מק"ט'!$D$2:$E$9,2,FALSE)&amp;VLOOKUP(E369,'מק"ט'!$F$2:$G$9,2,FALSE)&amp;D369</f>
        <v>76120613</v>
      </c>
      <c r="D369" s="196">
        <v>13</v>
      </c>
      <c r="E369" s="197" t="s">
        <v>117</v>
      </c>
      <c r="F369" s="202" t="s">
        <v>108</v>
      </c>
      <c r="G369" s="55" t="s">
        <v>21</v>
      </c>
      <c r="H369" s="199"/>
      <c r="I369" s="199"/>
      <c r="J369" s="200"/>
      <c r="K369" s="201"/>
      <c r="L369" s="227">
        <f t="shared" si="72"/>
        <v>370</v>
      </c>
      <c r="O369" s="42">
        <f>IFERROR(VLOOKUP(C369,תקציב!$D$22:$J$177,6,0),0)</f>
        <v>0</v>
      </c>
      <c r="P369" s="43">
        <f>IFERROR(VLOOKUP(C369,תקציב!$D$22:$J$177,5,0),0)</f>
        <v>0</v>
      </c>
      <c r="Q369" s="43">
        <f>IF(ISNUMBER(VLOOKUP(C369,תקציב!$D$22:$J$177,3,FALSE)),VLOOKUP(C369,תקציב!$D$22:$J$177,3,FALSE),1)</f>
        <v>1</v>
      </c>
      <c r="R369" s="43">
        <f t="shared" si="77"/>
        <v>0</v>
      </c>
      <c r="S369" s="44">
        <f t="shared" si="78"/>
        <v>0</v>
      </c>
      <c r="T369" s="186">
        <f>IFERROR(VLOOKUP(C369,תקציב!$D$22:$K$177,7,FALSE),0)-S369</f>
        <v>0</v>
      </c>
    </row>
    <row r="370" spans="2:20" ht="15" x14ac:dyDescent="0.2">
      <c r="B370" s="32" t="str">
        <f t="shared" ref="B370:B372" si="81">G370</f>
        <v>שבועות</v>
      </c>
      <c r="C370" s="45" t="str">
        <f>'מק"ט'!$C$3&amp;VLOOKUP(G370,'מק"ט'!$D$2:$E$9,2,FALSE)&amp;VLOOKUP(E370,'מק"ט'!$F$2:$G$9,2,FALSE)&amp;D370</f>
        <v>76130613</v>
      </c>
      <c r="D370" s="196">
        <v>13</v>
      </c>
      <c r="E370" s="197" t="s">
        <v>117</v>
      </c>
      <c r="F370" s="202" t="s">
        <v>108</v>
      </c>
      <c r="G370" s="55" t="s">
        <v>26</v>
      </c>
      <c r="H370" s="199"/>
      <c r="I370" s="199"/>
      <c r="J370" s="200"/>
      <c r="K370" s="201"/>
      <c r="L370" s="227">
        <f t="shared" si="72"/>
        <v>370</v>
      </c>
      <c r="O370" s="42"/>
      <c r="P370" s="43"/>
      <c r="Q370" s="43"/>
      <c r="R370" s="43"/>
      <c r="S370" s="44"/>
      <c r="T370" s="186"/>
    </row>
    <row r="371" spans="2:20" ht="15" x14ac:dyDescent="0.2">
      <c r="B371" s="32" t="str">
        <f t="shared" si="81"/>
        <v>חודשים</v>
      </c>
      <c r="C371" s="45" t="str">
        <f>'מק"ט'!$C$3&amp;VLOOKUP(G371,'מק"ט'!$D$2:$E$9,2,FALSE)&amp;VLOOKUP(E371,'מק"ט'!$F$2:$G$9,2,FALSE)&amp;D371</f>
        <v>76140613</v>
      </c>
      <c r="D371" s="196">
        <v>13</v>
      </c>
      <c r="E371" s="197" t="s">
        <v>117</v>
      </c>
      <c r="F371" s="202" t="s">
        <v>108</v>
      </c>
      <c r="G371" s="55" t="s">
        <v>24</v>
      </c>
      <c r="H371" s="199"/>
      <c r="I371" s="199"/>
      <c r="J371" s="200"/>
      <c r="K371" s="201"/>
      <c r="L371" s="227">
        <f t="shared" si="72"/>
        <v>370</v>
      </c>
      <c r="O371" s="42"/>
      <c r="P371" s="43"/>
      <c r="Q371" s="43"/>
      <c r="R371" s="43"/>
      <c r="S371" s="44"/>
      <c r="T371" s="186"/>
    </row>
    <row r="372" spans="2:20" ht="15" x14ac:dyDescent="0.2">
      <c r="B372" s="32" t="str">
        <f t="shared" si="81"/>
        <v>עונתי גלובלי</v>
      </c>
      <c r="C372" s="45" t="str">
        <f>'מק"ט'!$C$3&amp;VLOOKUP(G372,'מק"ט'!$D$2:$E$9,2,FALSE)&amp;VLOOKUP(E372,'מק"ט'!$F$2:$G$9,2,FALSE)&amp;D372</f>
        <v>76150613</v>
      </c>
      <c r="D372" s="196">
        <v>13</v>
      </c>
      <c r="E372" s="197" t="s">
        <v>117</v>
      </c>
      <c r="F372" s="202" t="s">
        <v>108</v>
      </c>
      <c r="G372" s="55" t="s">
        <v>23</v>
      </c>
      <c r="H372" s="199"/>
      <c r="I372" s="199"/>
      <c r="J372" s="200"/>
      <c r="K372" s="201"/>
      <c r="L372" s="227">
        <f t="shared" si="72"/>
        <v>370</v>
      </c>
      <c r="O372" s="42"/>
      <c r="P372" s="43"/>
      <c r="Q372" s="43"/>
      <c r="R372" s="43"/>
      <c r="S372" s="44"/>
      <c r="T372" s="186"/>
    </row>
    <row r="373" spans="2:20" ht="15" x14ac:dyDescent="0.2">
      <c r="B373" s="32" t="str">
        <f t="shared" si="56"/>
        <v>תכניות/פרקים</v>
      </c>
      <c r="C373" s="45" t="str">
        <f>'מק"ט'!$C$3&amp;VLOOKUP(G373,'מק"ט'!$D$2:$E$9,2,FALSE)&amp;VLOOKUP(E373,'מק"ט'!$F$2:$G$9,2,FALSE)&amp;D373</f>
        <v>76110614</v>
      </c>
      <c r="D373" s="62">
        <v>14</v>
      </c>
      <c r="E373" s="91" t="s">
        <v>117</v>
      </c>
      <c r="F373" s="104" t="s">
        <v>268</v>
      </c>
      <c r="G373" s="55" t="s">
        <v>25</v>
      </c>
      <c r="H373" s="49"/>
      <c r="I373" s="49"/>
      <c r="J373" s="75"/>
      <c r="K373" s="51"/>
      <c r="L373" s="227">
        <f t="shared" si="72"/>
        <v>375</v>
      </c>
      <c r="O373" s="42">
        <f>IFERROR(VLOOKUP(C373,תקציב!$D$22:$J$177,6,0),0)</f>
        <v>0</v>
      </c>
      <c r="P373" s="43">
        <f>IFERROR(VLOOKUP(C373,תקציב!$D$22:$J$177,5,0),0)</f>
        <v>0</v>
      </c>
      <c r="Q373" s="43">
        <f>IF(ISNUMBER(VLOOKUP(C373,תקציב!$D$22:$J$177,3,FALSE)),VLOOKUP(C373,תקציב!$D$22:$J$177,3,FALSE),1)</f>
        <v>1</v>
      </c>
      <c r="R373" s="43">
        <f t="shared" si="77"/>
        <v>0</v>
      </c>
      <c r="S373" s="44">
        <f t="shared" si="78"/>
        <v>0</v>
      </c>
      <c r="T373" s="186">
        <f>IFERROR(VLOOKUP(C373,תקציב!$D$22:$K$177,7,FALSE),0)-S373</f>
        <v>0</v>
      </c>
    </row>
    <row r="374" spans="2:20" ht="15" x14ac:dyDescent="0.2">
      <c r="B374" s="32" t="str">
        <f t="shared" si="56"/>
        <v>ימים</v>
      </c>
      <c r="C374" s="45" t="str">
        <f>'מק"ט'!$C$3&amp;VLOOKUP(G374,'מק"ט'!$D$2:$E$9,2,FALSE)&amp;VLOOKUP(E374,'מק"ט'!$F$2:$G$9,2,FALSE)&amp;D374</f>
        <v>76120614</v>
      </c>
      <c r="D374" s="62">
        <v>14</v>
      </c>
      <c r="E374" s="91" t="s">
        <v>117</v>
      </c>
      <c r="F374" s="104" t="s">
        <v>268</v>
      </c>
      <c r="G374" s="55" t="s">
        <v>21</v>
      </c>
      <c r="H374" s="49"/>
      <c r="I374" s="49"/>
      <c r="J374" s="75"/>
      <c r="K374" s="51"/>
      <c r="L374" s="227">
        <f t="shared" si="72"/>
        <v>375</v>
      </c>
      <c r="O374" s="42">
        <f>IFERROR(VLOOKUP(C374,תקציב!$D$22:$J$177,6,0),0)</f>
        <v>0</v>
      </c>
      <c r="P374" s="43">
        <f>IFERROR(VLOOKUP(C374,תקציב!$D$22:$J$177,5,0),0)</f>
        <v>0</v>
      </c>
      <c r="Q374" s="43">
        <f>IF(ISNUMBER(VLOOKUP(C374,תקציב!$D$22:$J$177,3,FALSE)),VLOOKUP(C374,תקציב!$D$22:$J$177,3,FALSE),1)</f>
        <v>1</v>
      </c>
      <c r="R374" s="43">
        <f t="shared" si="77"/>
        <v>0</v>
      </c>
      <c r="S374" s="44">
        <f t="shared" si="78"/>
        <v>0</v>
      </c>
      <c r="T374" s="186">
        <f>IFERROR(VLOOKUP(C374,תקציב!$D$22:$K$177,7,FALSE),0)-S374</f>
        <v>0</v>
      </c>
    </row>
    <row r="375" spans="2:20" ht="15" x14ac:dyDescent="0.2">
      <c r="B375" s="32" t="str">
        <f t="shared" ref="B375:B377" si="82">G375</f>
        <v>שבועות</v>
      </c>
      <c r="C375" s="45" t="str">
        <f>'מק"ט'!$C$3&amp;VLOOKUP(G375,'מק"ט'!$D$2:$E$9,2,FALSE)&amp;VLOOKUP(E375,'מק"ט'!$F$2:$G$9,2,FALSE)&amp;D375</f>
        <v>76130614</v>
      </c>
      <c r="D375" s="62">
        <v>14</v>
      </c>
      <c r="E375" s="91" t="s">
        <v>117</v>
      </c>
      <c r="F375" s="104" t="s">
        <v>268</v>
      </c>
      <c r="G375" s="55" t="s">
        <v>26</v>
      </c>
      <c r="H375" s="49"/>
      <c r="I375" s="49"/>
      <c r="J375" s="75"/>
      <c r="K375" s="51"/>
      <c r="L375" s="227">
        <f t="shared" si="72"/>
        <v>375</v>
      </c>
      <c r="O375" s="42"/>
      <c r="P375" s="43"/>
      <c r="Q375" s="43"/>
      <c r="R375" s="43"/>
      <c r="S375" s="44"/>
      <c r="T375" s="186"/>
    </row>
    <row r="376" spans="2:20" ht="15" x14ac:dyDescent="0.2">
      <c r="B376" s="32" t="str">
        <f t="shared" si="82"/>
        <v>חודשים</v>
      </c>
      <c r="C376" s="45" t="str">
        <f>'מק"ט'!$C$3&amp;VLOOKUP(G376,'מק"ט'!$D$2:$E$9,2,FALSE)&amp;VLOOKUP(E376,'מק"ט'!$F$2:$G$9,2,FALSE)&amp;D376</f>
        <v>76140614</v>
      </c>
      <c r="D376" s="62">
        <v>14</v>
      </c>
      <c r="E376" s="91" t="s">
        <v>117</v>
      </c>
      <c r="F376" s="104" t="s">
        <v>268</v>
      </c>
      <c r="G376" s="55" t="s">
        <v>24</v>
      </c>
      <c r="H376" s="49"/>
      <c r="I376" s="49"/>
      <c r="J376" s="75"/>
      <c r="K376" s="51"/>
      <c r="L376" s="227">
        <f t="shared" si="72"/>
        <v>375</v>
      </c>
      <c r="O376" s="42"/>
      <c r="P376" s="43"/>
      <c r="Q376" s="43"/>
      <c r="R376" s="43"/>
      <c r="S376" s="44"/>
      <c r="T376" s="186"/>
    </row>
    <row r="377" spans="2:20" ht="15" x14ac:dyDescent="0.2">
      <c r="B377" s="32" t="str">
        <f t="shared" si="82"/>
        <v>עונתי גלובלי</v>
      </c>
      <c r="C377" s="45" t="str">
        <f>'מק"ט'!$C$3&amp;VLOOKUP(G377,'מק"ט'!$D$2:$E$9,2,FALSE)&amp;VLOOKUP(E377,'מק"ט'!$F$2:$G$9,2,FALSE)&amp;D377</f>
        <v>76150614</v>
      </c>
      <c r="D377" s="62">
        <v>14</v>
      </c>
      <c r="E377" s="91" t="s">
        <v>117</v>
      </c>
      <c r="F377" s="104" t="s">
        <v>268</v>
      </c>
      <c r="G377" s="55" t="s">
        <v>23</v>
      </c>
      <c r="H377" s="49"/>
      <c r="I377" s="49"/>
      <c r="J377" s="75"/>
      <c r="K377" s="51"/>
      <c r="L377" s="227">
        <f t="shared" si="72"/>
        <v>375</v>
      </c>
      <c r="O377" s="42"/>
      <c r="P377" s="43"/>
      <c r="Q377" s="43"/>
      <c r="R377" s="43"/>
      <c r="S377" s="44"/>
      <c r="T377" s="186"/>
    </row>
    <row r="378" spans="2:20" ht="15" x14ac:dyDescent="0.2">
      <c r="B378" s="32" t="str">
        <f t="shared" si="56"/>
        <v>תכניות/פרקים</v>
      </c>
      <c r="C378" s="45" t="str">
        <f>'מק"ט'!$C$3&amp;VLOOKUP(G378,'מק"ט'!$D$2:$E$9,2,FALSE)&amp;VLOOKUP(E378,'מק"ט'!$F$2:$G$9,2,FALSE)&amp;D378</f>
        <v>76110615</v>
      </c>
      <c r="D378" s="196">
        <v>15</v>
      </c>
      <c r="E378" s="197" t="s">
        <v>117</v>
      </c>
      <c r="F378" s="202" t="s">
        <v>269</v>
      </c>
      <c r="G378" s="55" t="s">
        <v>25</v>
      </c>
      <c r="H378" s="199"/>
      <c r="I378" s="199"/>
      <c r="J378" s="200"/>
      <c r="K378" s="201"/>
      <c r="L378" s="227">
        <f t="shared" si="72"/>
        <v>380</v>
      </c>
      <c r="O378" s="42">
        <f>IFERROR(VLOOKUP(C378,תקציב!$D$22:$J$177,6,0),0)</f>
        <v>0</v>
      </c>
      <c r="P378" s="43">
        <f>IFERROR(VLOOKUP(C378,תקציב!$D$22:$J$177,5,0),0)</f>
        <v>0</v>
      </c>
      <c r="Q378" s="43">
        <f>IF(ISNUMBER(VLOOKUP(C378,תקציב!$D$22:$J$177,3,FALSE)),VLOOKUP(C378,תקציב!$D$22:$J$177,3,FALSE),1)</f>
        <v>1</v>
      </c>
      <c r="R378" s="43">
        <f t="shared" si="77"/>
        <v>0</v>
      </c>
      <c r="S378" s="44">
        <f t="shared" si="78"/>
        <v>0</v>
      </c>
      <c r="T378" s="186">
        <f>IFERROR(VLOOKUP(C378,תקציב!$D$22:$K$177,7,FALSE),0)-S378</f>
        <v>0</v>
      </c>
    </row>
    <row r="379" spans="2:20" ht="15" x14ac:dyDescent="0.2">
      <c r="B379" s="32" t="str">
        <f t="shared" si="56"/>
        <v>ימים</v>
      </c>
      <c r="C379" s="45" t="str">
        <f>'מק"ט'!$C$3&amp;VLOOKUP(G379,'מק"ט'!$D$2:$E$9,2,FALSE)&amp;VLOOKUP(E379,'מק"ט'!$F$2:$G$9,2,FALSE)&amp;D379</f>
        <v>76120615</v>
      </c>
      <c r="D379" s="196">
        <v>15</v>
      </c>
      <c r="E379" s="197" t="s">
        <v>117</v>
      </c>
      <c r="F379" s="202" t="s">
        <v>269</v>
      </c>
      <c r="G379" s="55" t="s">
        <v>21</v>
      </c>
      <c r="H379" s="199"/>
      <c r="I379" s="199"/>
      <c r="J379" s="200"/>
      <c r="K379" s="201"/>
      <c r="L379" s="227">
        <f t="shared" si="72"/>
        <v>380</v>
      </c>
      <c r="O379" s="42">
        <f>IFERROR(VLOOKUP(C379,תקציב!$D$22:$J$177,6,0),0)</f>
        <v>0</v>
      </c>
      <c r="P379" s="43">
        <f>IFERROR(VLOOKUP(C379,תקציב!$D$22:$J$177,5,0),0)</f>
        <v>0</v>
      </c>
      <c r="Q379" s="43">
        <f>IF(ISNUMBER(VLOOKUP(C379,תקציב!$D$22:$J$177,3,FALSE)),VLOOKUP(C379,תקציב!$D$22:$J$177,3,FALSE),1)</f>
        <v>1</v>
      </c>
      <c r="R379" s="43">
        <f t="shared" si="77"/>
        <v>0</v>
      </c>
      <c r="S379" s="44">
        <f t="shared" si="78"/>
        <v>0</v>
      </c>
      <c r="T379" s="186">
        <f>IFERROR(VLOOKUP(C379,תקציב!$D$22:$K$177,7,FALSE),0)-S379</f>
        <v>0</v>
      </c>
    </row>
    <row r="380" spans="2:20" ht="15" x14ac:dyDescent="0.2">
      <c r="B380" s="32" t="str">
        <f t="shared" ref="B380:B382" si="83">G380</f>
        <v>שבועות</v>
      </c>
      <c r="C380" s="45" t="str">
        <f>'מק"ט'!$C$3&amp;VLOOKUP(G380,'מק"ט'!$D$2:$E$9,2,FALSE)&amp;VLOOKUP(E380,'מק"ט'!$F$2:$G$9,2,FALSE)&amp;D380</f>
        <v>76130615</v>
      </c>
      <c r="D380" s="196">
        <v>15</v>
      </c>
      <c r="E380" s="197" t="s">
        <v>117</v>
      </c>
      <c r="F380" s="202" t="s">
        <v>269</v>
      </c>
      <c r="G380" s="55" t="s">
        <v>26</v>
      </c>
      <c r="H380" s="199"/>
      <c r="I380" s="199"/>
      <c r="J380" s="200"/>
      <c r="K380" s="201"/>
      <c r="L380" s="227">
        <f t="shared" si="72"/>
        <v>380</v>
      </c>
      <c r="O380" s="42"/>
      <c r="P380" s="43"/>
      <c r="Q380" s="43"/>
      <c r="R380" s="43"/>
      <c r="S380" s="44"/>
      <c r="T380" s="186"/>
    </row>
    <row r="381" spans="2:20" ht="15" x14ac:dyDescent="0.2">
      <c r="B381" s="32" t="str">
        <f t="shared" si="83"/>
        <v>חודשים</v>
      </c>
      <c r="C381" s="45" t="str">
        <f>'מק"ט'!$C$3&amp;VLOOKUP(G381,'מק"ט'!$D$2:$E$9,2,FALSE)&amp;VLOOKUP(E381,'מק"ט'!$F$2:$G$9,2,FALSE)&amp;D381</f>
        <v>76140615</v>
      </c>
      <c r="D381" s="196">
        <v>15</v>
      </c>
      <c r="E381" s="197" t="s">
        <v>117</v>
      </c>
      <c r="F381" s="202" t="s">
        <v>269</v>
      </c>
      <c r="G381" s="55" t="s">
        <v>24</v>
      </c>
      <c r="H381" s="199"/>
      <c r="I381" s="199"/>
      <c r="J381" s="200"/>
      <c r="K381" s="201"/>
      <c r="L381" s="227">
        <f t="shared" si="72"/>
        <v>380</v>
      </c>
      <c r="O381" s="42"/>
      <c r="P381" s="43"/>
      <c r="Q381" s="43"/>
      <c r="R381" s="43"/>
      <c r="S381" s="44"/>
      <c r="T381" s="186"/>
    </row>
    <row r="382" spans="2:20" ht="15" x14ac:dyDescent="0.2">
      <c r="B382" s="32" t="str">
        <f t="shared" si="83"/>
        <v>עונתי גלובלי</v>
      </c>
      <c r="C382" s="45" t="str">
        <f>'מק"ט'!$C$3&amp;VLOOKUP(G382,'מק"ט'!$D$2:$E$9,2,FALSE)&amp;VLOOKUP(E382,'מק"ט'!$F$2:$G$9,2,FALSE)&amp;D382</f>
        <v>76150615</v>
      </c>
      <c r="D382" s="196">
        <v>15</v>
      </c>
      <c r="E382" s="197" t="s">
        <v>117</v>
      </c>
      <c r="F382" s="202" t="s">
        <v>269</v>
      </c>
      <c r="G382" s="55" t="s">
        <v>23</v>
      </c>
      <c r="H382" s="199"/>
      <c r="I382" s="199"/>
      <c r="J382" s="200"/>
      <c r="K382" s="201"/>
      <c r="L382" s="227">
        <f t="shared" si="72"/>
        <v>380</v>
      </c>
      <c r="O382" s="42"/>
      <c r="P382" s="43"/>
      <c r="Q382" s="43"/>
      <c r="R382" s="43"/>
      <c r="S382" s="44"/>
      <c r="T382" s="186"/>
    </row>
    <row r="383" spans="2:20" ht="15" x14ac:dyDescent="0.2">
      <c r="B383" s="32" t="str">
        <f t="shared" si="56"/>
        <v>תכניות/פרקים</v>
      </c>
      <c r="C383" s="45" t="str">
        <f>'מק"ט'!$C$3&amp;VLOOKUP(G383,'מק"ט'!$D$2:$E$9,2,FALSE)&amp;VLOOKUP(E383,'מק"ט'!$F$2:$G$9,2,FALSE)&amp;D383</f>
        <v>76110617</v>
      </c>
      <c r="D383" s="62">
        <v>17</v>
      </c>
      <c r="E383" s="91" t="s">
        <v>117</v>
      </c>
      <c r="F383" s="104" t="s">
        <v>109</v>
      </c>
      <c r="G383" s="55" t="s">
        <v>25</v>
      </c>
      <c r="H383" s="49"/>
      <c r="I383" s="49"/>
      <c r="J383" s="75"/>
      <c r="K383" s="51"/>
      <c r="L383" s="227">
        <f t="shared" si="72"/>
        <v>385</v>
      </c>
      <c r="O383" s="42">
        <f>IFERROR(VLOOKUP(C383,תקציב!$D$22:$J$177,6,0),0)</f>
        <v>0</v>
      </c>
      <c r="P383" s="43">
        <f>IFERROR(VLOOKUP(C383,תקציב!$D$22:$J$177,5,0),0)</f>
        <v>0</v>
      </c>
      <c r="Q383" s="43">
        <f>IF(ISNUMBER(VLOOKUP(C383,תקציב!$D$22:$J$177,3,FALSE)),VLOOKUP(C383,תקציב!$D$22:$J$177,3,FALSE),1)</f>
        <v>1</v>
      </c>
      <c r="R383" s="43">
        <f t="shared" si="77"/>
        <v>0</v>
      </c>
      <c r="S383" s="44">
        <f t="shared" si="78"/>
        <v>0</v>
      </c>
      <c r="T383" s="186">
        <f>IFERROR(VLOOKUP(C383,תקציב!$D$22:$K$177,7,FALSE),0)-S383</f>
        <v>0</v>
      </c>
    </row>
    <row r="384" spans="2:20" ht="15" x14ac:dyDescent="0.2">
      <c r="B384" s="32" t="str">
        <f t="shared" si="56"/>
        <v>ימים</v>
      </c>
      <c r="C384" s="45" t="str">
        <f>'מק"ט'!$C$3&amp;VLOOKUP(G384,'מק"ט'!$D$2:$E$9,2,FALSE)&amp;VLOOKUP(E384,'מק"ט'!$F$2:$G$9,2,FALSE)&amp;D384</f>
        <v>76120617</v>
      </c>
      <c r="D384" s="62">
        <v>17</v>
      </c>
      <c r="E384" s="91" t="s">
        <v>117</v>
      </c>
      <c r="F384" s="104" t="s">
        <v>109</v>
      </c>
      <c r="G384" s="55" t="s">
        <v>21</v>
      </c>
      <c r="H384" s="49"/>
      <c r="I384" s="49"/>
      <c r="J384" s="75"/>
      <c r="K384" s="51"/>
      <c r="L384" s="227">
        <f t="shared" si="72"/>
        <v>385</v>
      </c>
      <c r="O384" s="42">
        <f>IFERROR(VLOOKUP(C384,תקציב!$D$22:$J$177,6,0),0)</f>
        <v>0</v>
      </c>
      <c r="P384" s="43">
        <f>IFERROR(VLOOKUP(C384,תקציב!$D$22:$J$177,5,0),0)</f>
        <v>0</v>
      </c>
      <c r="Q384" s="43">
        <f>IF(ISNUMBER(VLOOKUP(C384,תקציב!$D$22:$J$177,3,FALSE)),VLOOKUP(C384,תקציב!$D$22:$J$177,3,FALSE),1)</f>
        <v>1</v>
      </c>
      <c r="R384" s="43">
        <f t="shared" si="77"/>
        <v>0</v>
      </c>
      <c r="S384" s="44">
        <f t="shared" si="78"/>
        <v>0</v>
      </c>
      <c r="T384" s="186">
        <f>IFERROR(VLOOKUP(C384,תקציב!$D$22:$K$177,7,FALSE),0)-S384</f>
        <v>0</v>
      </c>
    </row>
    <row r="385" spans="2:20" ht="15" x14ac:dyDescent="0.2">
      <c r="B385" s="32" t="str">
        <f t="shared" ref="B385:B387" si="84">G385</f>
        <v>שבועות</v>
      </c>
      <c r="C385" s="45" t="str">
        <f>'מק"ט'!$C$3&amp;VLOOKUP(G385,'מק"ט'!$D$2:$E$9,2,FALSE)&amp;VLOOKUP(E385,'מק"ט'!$F$2:$G$9,2,FALSE)&amp;D385</f>
        <v>76130617</v>
      </c>
      <c r="D385" s="62">
        <v>17</v>
      </c>
      <c r="E385" s="91" t="s">
        <v>117</v>
      </c>
      <c r="F385" s="104" t="s">
        <v>109</v>
      </c>
      <c r="G385" s="55" t="s">
        <v>26</v>
      </c>
      <c r="H385" s="49"/>
      <c r="I385" s="49"/>
      <c r="J385" s="75"/>
      <c r="K385" s="51"/>
      <c r="L385" s="227">
        <f t="shared" si="72"/>
        <v>385</v>
      </c>
      <c r="O385" s="42"/>
      <c r="P385" s="43"/>
      <c r="Q385" s="43"/>
      <c r="R385" s="43"/>
      <c r="S385" s="44"/>
      <c r="T385" s="186"/>
    </row>
    <row r="386" spans="2:20" ht="15" x14ac:dyDescent="0.2">
      <c r="B386" s="32" t="str">
        <f t="shared" si="84"/>
        <v>חודשים</v>
      </c>
      <c r="C386" s="45" t="str">
        <f>'מק"ט'!$C$3&amp;VLOOKUP(G386,'מק"ט'!$D$2:$E$9,2,FALSE)&amp;VLOOKUP(E386,'מק"ט'!$F$2:$G$9,2,FALSE)&amp;D386</f>
        <v>76140617</v>
      </c>
      <c r="D386" s="62">
        <v>17</v>
      </c>
      <c r="E386" s="91" t="s">
        <v>117</v>
      </c>
      <c r="F386" s="104" t="s">
        <v>109</v>
      </c>
      <c r="G386" s="55" t="s">
        <v>24</v>
      </c>
      <c r="H386" s="49"/>
      <c r="I386" s="49"/>
      <c r="J386" s="75"/>
      <c r="K386" s="51"/>
      <c r="L386" s="227">
        <f t="shared" si="72"/>
        <v>385</v>
      </c>
      <c r="O386" s="42"/>
      <c r="P386" s="43"/>
      <c r="Q386" s="43"/>
      <c r="R386" s="43"/>
      <c r="S386" s="44"/>
      <c r="T386" s="186"/>
    </row>
    <row r="387" spans="2:20" ht="15" x14ac:dyDescent="0.2">
      <c r="B387" s="32" t="str">
        <f t="shared" si="84"/>
        <v>עונתי גלובלי</v>
      </c>
      <c r="C387" s="45" t="str">
        <f>'מק"ט'!$C$3&amp;VLOOKUP(G387,'מק"ט'!$D$2:$E$9,2,FALSE)&amp;VLOOKUP(E387,'מק"ט'!$F$2:$G$9,2,FALSE)&amp;D387</f>
        <v>76150617</v>
      </c>
      <c r="D387" s="62">
        <v>17</v>
      </c>
      <c r="E387" s="91" t="s">
        <v>117</v>
      </c>
      <c r="F387" s="104" t="s">
        <v>109</v>
      </c>
      <c r="G387" s="55" t="s">
        <v>23</v>
      </c>
      <c r="H387" s="49"/>
      <c r="I387" s="49"/>
      <c r="J387" s="75"/>
      <c r="K387" s="51"/>
      <c r="L387" s="227">
        <f t="shared" si="72"/>
        <v>385</v>
      </c>
      <c r="O387" s="42"/>
      <c r="P387" s="43"/>
      <c r="Q387" s="43"/>
      <c r="R387" s="43"/>
      <c r="S387" s="44"/>
      <c r="T387" s="186"/>
    </row>
    <row r="388" spans="2:20" ht="15" x14ac:dyDescent="0.2">
      <c r="B388" s="32" t="str">
        <f t="shared" si="56"/>
        <v>תכניות/פרקים</v>
      </c>
      <c r="C388" s="45" t="str">
        <f>'מק"ט'!$C$3&amp;VLOOKUP(G388,'מק"ט'!$D$2:$E$9,2,FALSE)&amp;VLOOKUP(E388,'מק"ט'!$F$2:$G$9,2,FALSE)&amp;D388</f>
        <v>76110618</v>
      </c>
      <c r="D388" s="196">
        <v>18</v>
      </c>
      <c r="E388" s="197" t="s">
        <v>117</v>
      </c>
      <c r="F388" s="202" t="s">
        <v>110</v>
      </c>
      <c r="G388" s="55" t="s">
        <v>25</v>
      </c>
      <c r="H388" s="199"/>
      <c r="I388" s="199"/>
      <c r="J388" s="200"/>
      <c r="K388" s="201"/>
      <c r="L388" s="227">
        <f t="shared" si="72"/>
        <v>390</v>
      </c>
      <c r="O388" s="42">
        <f>IFERROR(VLOOKUP(C388,תקציב!$D$22:$J$177,6,0),0)</f>
        <v>0</v>
      </c>
      <c r="P388" s="43">
        <f>IFERROR(VLOOKUP(C388,תקציב!$D$22:$J$177,5,0),0)</f>
        <v>0</v>
      </c>
      <c r="Q388" s="43">
        <f>IF(ISNUMBER(VLOOKUP(C388,תקציב!$D$22:$J$177,3,FALSE)),VLOOKUP(C388,תקציב!$D$22:$J$177,3,FALSE),1)</f>
        <v>1</v>
      </c>
      <c r="R388" s="43">
        <f t="shared" si="77"/>
        <v>0</v>
      </c>
      <c r="S388" s="44">
        <f t="shared" si="78"/>
        <v>0</v>
      </c>
      <c r="T388" s="186">
        <f>IFERROR(VLOOKUP(C388,תקציב!$D$22:$K$177,7,FALSE),0)-S388</f>
        <v>0</v>
      </c>
    </row>
    <row r="389" spans="2:20" ht="15" x14ac:dyDescent="0.2">
      <c r="B389" s="32" t="str">
        <f t="shared" si="56"/>
        <v>ימים</v>
      </c>
      <c r="C389" s="45" t="str">
        <f>'מק"ט'!$C$3&amp;VLOOKUP(G389,'מק"ט'!$D$2:$E$9,2,FALSE)&amp;VLOOKUP(E389,'מק"ט'!$F$2:$G$9,2,FALSE)&amp;D389</f>
        <v>76120618</v>
      </c>
      <c r="D389" s="196">
        <v>18</v>
      </c>
      <c r="E389" s="197" t="s">
        <v>117</v>
      </c>
      <c r="F389" s="202" t="s">
        <v>110</v>
      </c>
      <c r="G389" s="55" t="s">
        <v>21</v>
      </c>
      <c r="H389" s="199"/>
      <c r="I389" s="199"/>
      <c r="J389" s="200"/>
      <c r="K389" s="201"/>
      <c r="L389" s="227">
        <f t="shared" si="72"/>
        <v>390</v>
      </c>
      <c r="O389" s="42">
        <f>IFERROR(VLOOKUP(C389,תקציב!$D$22:$J$177,6,0),0)</f>
        <v>0</v>
      </c>
      <c r="P389" s="43">
        <f>IFERROR(VLOOKUP(C389,תקציב!$D$22:$J$177,5,0),0)</f>
        <v>0</v>
      </c>
      <c r="Q389" s="43">
        <f>IF(ISNUMBER(VLOOKUP(C389,תקציב!$D$22:$J$177,3,FALSE)),VLOOKUP(C389,תקציב!$D$22:$J$177,3,FALSE),1)</f>
        <v>1</v>
      </c>
      <c r="R389" s="43">
        <f t="shared" si="77"/>
        <v>0</v>
      </c>
      <c r="S389" s="44">
        <f t="shared" si="78"/>
        <v>0</v>
      </c>
      <c r="T389" s="186">
        <f>IFERROR(VLOOKUP(C389,תקציב!$D$22:$K$177,7,FALSE),0)-S389</f>
        <v>0</v>
      </c>
    </row>
    <row r="390" spans="2:20" ht="15" x14ac:dyDescent="0.2">
      <c r="B390" s="32" t="str">
        <f t="shared" ref="B390:B392" si="85">G390</f>
        <v>שבועות</v>
      </c>
      <c r="C390" s="45" t="str">
        <f>'מק"ט'!$C$3&amp;VLOOKUP(G390,'מק"ט'!$D$2:$E$9,2,FALSE)&amp;VLOOKUP(E390,'מק"ט'!$F$2:$G$9,2,FALSE)&amp;D390</f>
        <v>76130618</v>
      </c>
      <c r="D390" s="196">
        <v>18</v>
      </c>
      <c r="E390" s="197" t="s">
        <v>117</v>
      </c>
      <c r="F390" s="202" t="s">
        <v>110</v>
      </c>
      <c r="G390" s="55" t="s">
        <v>26</v>
      </c>
      <c r="H390" s="199"/>
      <c r="I390" s="199"/>
      <c r="J390" s="200"/>
      <c r="K390" s="201"/>
      <c r="L390" s="227">
        <f t="shared" si="72"/>
        <v>390</v>
      </c>
      <c r="O390" s="42"/>
      <c r="P390" s="43"/>
      <c r="Q390" s="43"/>
      <c r="R390" s="43"/>
      <c r="S390" s="44"/>
      <c r="T390" s="186"/>
    </row>
    <row r="391" spans="2:20" ht="15" x14ac:dyDescent="0.2">
      <c r="B391" s="32" t="str">
        <f t="shared" si="85"/>
        <v>חודשים</v>
      </c>
      <c r="C391" s="45" t="str">
        <f>'מק"ט'!$C$3&amp;VLOOKUP(G391,'מק"ט'!$D$2:$E$9,2,FALSE)&amp;VLOOKUP(E391,'מק"ט'!$F$2:$G$9,2,FALSE)&amp;D391</f>
        <v>76140618</v>
      </c>
      <c r="D391" s="196">
        <v>18</v>
      </c>
      <c r="E391" s="197" t="s">
        <v>117</v>
      </c>
      <c r="F391" s="202" t="s">
        <v>110</v>
      </c>
      <c r="G391" s="55" t="s">
        <v>24</v>
      </c>
      <c r="H391" s="199"/>
      <c r="I391" s="199"/>
      <c r="J391" s="200"/>
      <c r="K391" s="201"/>
      <c r="L391" s="227">
        <f t="shared" si="72"/>
        <v>390</v>
      </c>
      <c r="O391" s="42"/>
      <c r="P391" s="43"/>
      <c r="Q391" s="43"/>
      <c r="R391" s="43"/>
      <c r="S391" s="44"/>
      <c r="T391" s="186"/>
    </row>
    <row r="392" spans="2:20" ht="15" x14ac:dyDescent="0.2">
      <c r="B392" s="32" t="str">
        <f t="shared" si="85"/>
        <v>עונתי גלובלי</v>
      </c>
      <c r="C392" s="45" t="str">
        <f>'מק"ט'!$C$3&amp;VLOOKUP(G392,'מק"ט'!$D$2:$E$9,2,FALSE)&amp;VLOOKUP(E392,'מק"ט'!$F$2:$G$9,2,FALSE)&amp;D392</f>
        <v>76150618</v>
      </c>
      <c r="D392" s="196">
        <v>18</v>
      </c>
      <c r="E392" s="197" t="s">
        <v>117</v>
      </c>
      <c r="F392" s="202" t="s">
        <v>110</v>
      </c>
      <c r="G392" s="55" t="s">
        <v>23</v>
      </c>
      <c r="H392" s="199"/>
      <c r="I392" s="199"/>
      <c r="J392" s="200"/>
      <c r="K392" s="201"/>
      <c r="L392" s="227">
        <f t="shared" si="72"/>
        <v>390</v>
      </c>
      <c r="O392" s="42"/>
      <c r="P392" s="43"/>
      <c r="Q392" s="43"/>
      <c r="R392" s="43"/>
      <c r="S392" s="44"/>
      <c r="T392" s="186"/>
    </row>
    <row r="393" spans="2:20" ht="15" x14ac:dyDescent="0.2">
      <c r="B393" s="32" t="str">
        <f t="shared" si="56"/>
        <v>תכניות/פרקים</v>
      </c>
      <c r="C393" s="45" t="str">
        <f>'מק"ט'!$C$3&amp;VLOOKUP(G393,'מק"ט'!$D$2:$E$9,2,FALSE)&amp;VLOOKUP(E393,'מק"ט'!$F$2:$G$9,2,FALSE)&amp;D393</f>
        <v>76110607</v>
      </c>
      <c r="D393" s="46" t="s">
        <v>172</v>
      </c>
      <c r="E393" s="91" t="s">
        <v>117</v>
      </c>
      <c r="F393" s="105" t="s">
        <v>111</v>
      </c>
      <c r="G393" s="55" t="s">
        <v>25</v>
      </c>
      <c r="H393" s="49"/>
      <c r="I393" s="49"/>
      <c r="J393" s="75"/>
      <c r="K393" s="51"/>
      <c r="L393" s="227">
        <f t="shared" si="72"/>
        <v>395</v>
      </c>
      <c r="O393" s="42">
        <f>IFERROR(VLOOKUP(C393,תקציב!$D$22:$J$177,6,0),0)</f>
        <v>0</v>
      </c>
      <c r="P393" s="43">
        <f>IFERROR(VLOOKUP(C393,תקציב!$D$22:$J$177,5,0),0)</f>
        <v>0</v>
      </c>
      <c r="Q393" s="43">
        <f>IF(ISNUMBER(VLOOKUP(C393,תקציב!$D$22:$J$177,3,FALSE)),VLOOKUP(C393,תקציב!$D$22:$J$177,3,FALSE),1)</f>
        <v>1</v>
      </c>
      <c r="R393" s="43">
        <f t="shared" si="77"/>
        <v>0</v>
      </c>
      <c r="S393" s="44">
        <f t="shared" si="78"/>
        <v>0</v>
      </c>
      <c r="T393" s="186">
        <f>IFERROR(VLOOKUP(C393,תקציב!$D$22:$K$177,7,FALSE),0)-S393</f>
        <v>0</v>
      </c>
    </row>
    <row r="394" spans="2:20" ht="15" x14ac:dyDescent="0.2">
      <c r="B394" s="32" t="str">
        <f t="shared" si="56"/>
        <v>ימים</v>
      </c>
      <c r="C394" s="45" t="str">
        <f>'מק"ט'!$C$3&amp;VLOOKUP(G394,'מק"ט'!$D$2:$E$9,2,FALSE)&amp;VLOOKUP(E394,'מק"ט'!$F$2:$G$9,2,FALSE)&amp;D394</f>
        <v>76120607</v>
      </c>
      <c r="D394" s="46" t="s">
        <v>172</v>
      </c>
      <c r="E394" s="91" t="s">
        <v>117</v>
      </c>
      <c r="F394" s="105" t="s">
        <v>111</v>
      </c>
      <c r="G394" s="55" t="s">
        <v>21</v>
      </c>
      <c r="H394" s="49"/>
      <c r="I394" s="49"/>
      <c r="J394" s="75"/>
      <c r="K394" s="51"/>
      <c r="L394" s="227">
        <f t="shared" si="72"/>
        <v>395</v>
      </c>
      <c r="O394" s="42">
        <f>IFERROR(VLOOKUP(C394,תקציב!$D$22:$J$177,6,0),0)</f>
        <v>0</v>
      </c>
      <c r="P394" s="43">
        <f>IFERROR(VLOOKUP(C394,תקציב!$D$22:$J$177,5,0),0)</f>
        <v>0</v>
      </c>
      <c r="Q394" s="43">
        <f>IF(ISNUMBER(VLOOKUP(C394,תקציב!$D$22:$J$177,3,FALSE)),VLOOKUP(C394,תקציב!$D$22:$J$177,3,FALSE),1)</f>
        <v>1</v>
      </c>
      <c r="R394" s="43">
        <f t="shared" si="77"/>
        <v>0</v>
      </c>
      <c r="S394" s="44">
        <f t="shared" si="78"/>
        <v>0</v>
      </c>
      <c r="T394" s="186">
        <f>IFERROR(VLOOKUP(C394,תקציב!$D$22:$K$177,7,FALSE),0)-S394</f>
        <v>0</v>
      </c>
    </row>
    <row r="395" spans="2:20" ht="15" x14ac:dyDescent="0.2">
      <c r="B395" s="32" t="str">
        <f t="shared" ref="B395:B397" si="86">G395</f>
        <v>שבועות</v>
      </c>
      <c r="C395" s="45" t="str">
        <f>'מק"ט'!$C$3&amp;VLOOKUP(G395,'מק"ט'!$D$2:$E$9,2,FALSE)&amp;VLOOKUP(E395,'מק"ט'!$F$2:$G$9,2,FALSE)&amp;D395</f>
        <v>76130607</v>
      </c>
      <c r="D395" s="46" t="s">
        <v>172</v>
      </c>
      <c r="E395" s="91" t="s">
        <v>117</v>
      </c>
      <c r="F395" s="105" t="s">
        <v>111</v>
      </c>
      <c r="G395" s="55" t="s">
        <v>26</v>
      </c>
      <c r="H395" s="49"/>
      <c r="I395" s="49"/>
      <c r="J395" s="75"/>
      <c r="K395" s="51"/>
      <c r="L395" s="227">
        <f t="shared" si="72"/>
        <v>395</v>
      </c>
      <c r="O395" s="42"/>
      <c r="P395" s="43"/>
      <c r="Q395" s="43"/>
      <c r="R395" s="43"/>
      <c r="S395" s="44"/>
      <c r="T395" s="186"/>
    </row>
    <row r="396" spans="2:20" ht="15" x14ac:dyDescent="0.2">
      <c r="B396" s="32" t="str">
        <f t="shared" si="86"/>
        <v>חודשים</v>
      </c>
      <c r="C396" s="45" t="str">
        <f>'מק"ט'!$C$3&amp;VLOOKUP(G396,'מק"ט'!$D$2:$E$9,2,FALSE)&amp;VLOOKUP(E396,'מק"ט'!$F$2:$G$9,2,FALSE)&amp;D396</f>
        <v>76140607</v>
      </c>
      <c r="D396" s="46" t="s">
        <v>172</v>
      </c>
      <c r="E396" s="91" t="s">
        <v>117</v>
      </c>
      <c r="F396" s="105" t="s">
        <v>111</v>
      </c>
      <c r="G396" s="55" t="s">
        <v>24</v>
      </c>
      <c r="H396" s="49"/>
      <c r="I396" s="49"/>
      <c r="J396" s="75"/>
      <c r="K396" s="51"/>
      <c r="L396" s="227">
        <f t="shared" si="72"/>
        <v>395</v>
      </c>
      <c r="O396" s="42"/>
      <c r="P396" s="43"/>
      <c r="Q396" s="43"/>
      <c r="R396" s="43"/>
      <c r="S396" s="44"/>
      <c r="T396" s="186"/>
    </row>
    <row r="397" spans="2:20" ht="15" x14ac:dyDescent="0.2">
      <c r="B397" s="32" t="str">
        <f t="shared" si="86"/>
        <v>עונתי גלובלי</v>
      </c>
      <c r="C397" s="45" t="str">
        <f>'מק"ט'!$C$3&amp;VLOOKUP(G397,'מק"ט'!$D$2:$E$9,2,FALSE)&amp;VLOOKUP(E397,'מק"ט'!$F$2:$G$9,2,FALSE)&amp;D397</f>
        <v>76150607</v>
      </c>
      <c r="D397" s="46" t="s">
        <v>172</v>
      </c>
      <c r="E397" s="91" t="s">
        <v>117</v>
      </c>
      <c r="F397" s="105" t="s">
        <v>111</v>
      </c>
      <c r="G397" s="55" t="s">
        <v>23</v>
      </c>
      <c r="H397" s="49"/>
      <c r="I397" s="49"/>
      <c r="J397" s="75"/>
      <c r="K397" s="51"/>
      <c r="L397" s="227">
        <f t="shared" si="72"/>
        <v>395</v>
      </c>
      <c r="O397" s="42"/>
      <c r="P397" s="43"/>
      <c r="Q397" s="43"/>
      <c r="R397" s="43"/>
      <c r="S397" s="44"/>
      <c r="T397" s="186"/>
    </row>
    <row r="398" spans="2:20" ht="15" x14ac:dyDescent="0.2">
      <c r="B398" s="32" t="str">
        <f t="shared" si="56"/>
        <v>תכניות/פרקים</v>
      </c>
      <c r="C398" s="45" t="str">
        <f>'מק"ט'!$C$3&amp;VLOOKUP(G398,'מק"ט'!$D$2:$E$9,2,FALSE)&amp;VLOOKUP(E398,'מק"ט'!$F$2:$G$9,2,FALSE)&amp;D398</f>
        <v>76110616</v>
      </c>
      <c r="D398" s="196">
        <v>16</v>
      </c>
      <c r="E398" s="197" t="s">
        <v>117</v>
      </c>
      <c r="F398" s="198" t="s">
        <v>112</v>
      </c>
      <c r="G398" s="55" t="s">
        <v>25</v>
      </c>
      <c r="H398" s="199"/>
      <c r="I398" s="199"/>
      <c r="J398" s="200"/>
      <c r="K398" s="201"/>
      <c r="L398" s="227">
        <f t="shared" si="72"/>
        <v>400</v>
      </c>
      <c r="O398" s="42">
        <f>IFERROR(VLOOKUP(C398,תקציב!$D$22:$J$177,6,0),0)</f>
        <v>0</v>
      </c>
      <c r="P398" s="43">
        <f>IFERROR(VLOOKUP(C398,תקציב!$D$22:$J$177,5,0),0)</f>
        <v>0</v>
      </c>
      <c r="Q398" s="43">
        <f>IF(ISNUMBER(VLOOKUP(C398,תקציב!$D$22:$J$177,3,FALSE)),VLOOKUP(C398,תקציב!$D$22:$J$177,3,FALSE),1)</f>
        <v>1</v>
      </c>
      <c r="R398" s="43">
        <f t="shared" si="77"/>
        <v>0</v>
      </c>
      <c r="S398" s="44">
        <f t="shared" si="78"/>
        <v>0</v>
      </c>
      <c r="T398" s="186">
        <f>IFERROR(VLOOKUP(C398,תקציב!$D$22:$K$177,7,FALSE),0)-S398</f>
        <v>0</v>
      </c>
    </row>
    <row r="399" spans="2:20" ht="15" x14ac:dyDescent="0.2">
      <c r="B399" s="32" t="str">
        <f t="shared" si="56"/>
        <v>ימים</v>
      </c>
      <c r="C399" s="45" t="str">
        <f>'מק"ט'!$C$3&amp;VLOOKUP(G399,'מק"ט'!$D$2:$E$9,2,FALSE)&amp;VLOOKUP(E399,'מק"ט'!$F$2:$G$9,2,FALSE)&amp;D399</f>
        <v>76120616</v>
      </c>
      <c r="D399" s="196">
        <v>16</v>
      </c>
      <c r="E399" s="197" t="s">
        <v>117</v>
      </c>
      <c r="F399" s="198" t="s">
        <v>112</v>
      </c>
      <c r="G399" s="55" t="s">
        <v>21</v>
      </c>
      <c r="H399" s="199"/>
      <c r="I399" s="199"/>
      <c r="J399" s="200"/>
      <c r="K399" s="201"/>
      <c r="L399" s="227">
        <f t="shared" si="72"/>
        <v>400</v>
      </c>
      <c r="O399" s="42">
        <f>IFERROR(VLOOKUP(C399,תקציב!$D$22:$J$177,6,0),0)</f>
        <v>0</v>
      </c>
      <c r="P399" s="43">
        <f>IFERROR(VLOOKUP(C399,תקציב!$D$22:$J$177,5,0),0)</f>
        <v>0</v>
      </c>
      <c r="Q399" s="43">
        <f>IF(ISNUMBER(VLOOKUP(C399,תקציב!$D$22:$J$177,3,FALSE)),VLOOKUP(C399,תקציב!$D$22:$J$177,3,FALSE),1)</f>
        <v>1</v>
      </c>
      <c r="R399" s="43">
        <f t="shared" si="77"/>
        <v>0</v>
      </c>
      <c r="S399" s="44">
        <f t="shared" si="78"/>
        <v>0</v>
      </c>
      <c r="T399" s="186">
        <f>IFERROR(VLOOKUP(C399,תקציב!$D$22:$K$177,7,FALSE),0)-S399</f>
        <v>0</v>
      </c>
    </row>
    <row r="400" spans="2:20" ht="15" x14ac:dyDescent="0.2">
      <c r="B400" s="32" t="str">
        <f t="shared" ref="B400:B402" si="87">G400</f>
        <v>שבועות</v>
      </c>
      <c r="C400" s="45" t="str">
        <f>'מק"ט'!$C$3&amp;VLOOKUP(G400,'מק"ט'!$D$2:$E$9,2,FALSE)&amp;VLOOKUP(E400,'מק"ט'!$F$2:$G$9,2,FALSE)&amp;D400</f>
        <v>76130616</v>
      </c>
      <c r="D400" s="196">
        <v>16</v>
      </c>
      <c r="E400" s="197" t="s">
        <v>117</v>
      </c>
      <c r="F400" s="198" t="s">
        <v>112</v>
      </c>
      <c r="G400" s="55" t="s">
        <v>26</v>
      </c>
      <c r="H400" s="199"/>
      <c r="I400" s="199"/>
      <c r="J400" s="200"/>
      <c r="K400" s="201"/>
      <c r="L400" s="227">
        <f t="shared" si="72"/>
        <v>400</v>
      </c>
      <c r="O400" s="42"/>
      <c r="P400" s="43"/>
      <c r="Q400" s="43"/>
      <c r="R400" s="43"/>
      <c r="S400" s="44"/>
      <c r="T400" s="186"/>
    </row>
    <row r="401" spans="2:20" ht="15" x14ac:dyDescent="0.2">
      <c r="B401" s="32" t="str">
        <f t="shared" si="87"/>
        <v>חודשים</v>
      </c>
      <c r="C401" s="45" t="str">
        <f>'מק"ט'!$C$3&amp;VLOOKUP(G401,'מק"ט'!$D$2:$E$9,2,FALSE)&amp;VLOOKUP(E401,'מק"ט'!$F$2:$G$9,2,FALSE)&amp;D401</f>
        <v>76140616</v>
      </c>
      <c r="D401" s="196">
        <v>16</v>
      </c>
      <c r="E401" s="197" t="s">
        <v>117</v>
      </c>
      <c r="F401" s="198" t="s">
        <v>112</v>
      </c>
      <c r="G401" s="55" t="s">
        <v>24</v>
      </c>
      <c r="H401" s="199"/>
      <c r="I401" s="199"/>
      <c r="J401" s="200"/>
      <c r="K401" s="201"/>
      <c r="L401" s="227">
        <f t="shared" si="72"/>
        <v>400</v>
      </c>
      <c r="O401" s="42"/>
      <c r="P401" s="43"/>
      <c r="Q401" s="43"/>
      <c r="R401" s="43"/>
      <c r="S401" s="44"/>
      <c r="T401" s="186"/>
    </row>
    <row r="402" spans="2:20" ht="15" x14ac:dyDescent="0.2">
      <c r="B402" s="32" t="str">
        <f t="shared" si="87"/>
        <v>עונתי גלובלי</v>
      </c>
      <c r="C402" s="45" t="str">
        <f>'מק"ט'!$C$3&amp;VLOOKUP(G402,'מק"ט'!$D$2:$E$9,2,FALSE)&amp;VLOOKUP(E402,'מק"ט'!$F$2:$G$9,2,FALSE)&amp;D402</f>
        <v>76150616</v>
      </c>
      <c r="D402" s="196">
        <v>16</v>
      </c>
      <c r="E402" s="197" t="s">
        <v>117</v>
      </c>
      <c r="F402" s="198" t="s">
        <v>112</v>
      </c>
      <c r="G402" s="55" t="s">
        <v>23</v>
      </c>
      <c r="H402" s="199"/>
      <c r="I402" s="199"/>
      <c r="J402" s="200"/>
      <c r="K402" s="201"/>
      <c r="L402" s="227">
        <f t="shared" si="72"/>
        <v>400</v>
      </c>
      <c r="O402" s="42"/>
      <c r="P402" s="43"/>
      <c r="Q402" s="43"/>
      <c r="R402" s="43"/>
      <c r="S402" s="44"/>
      <c r="T402" s="186"/>
    </row>
    <row r="403" spans="2:20" ht="15" x14ac:dyDescent="0.2">
      <c r="B403" s="32" t="str">
        <f t="shared" si="56"/>
        <v>תכניות/פרקים</v>
      </c>
      <c r="C403" s="45" t="str">
        <f>'מק"ט'!$C$3&amp;VLOOKUP(G403,'מק"ט'!$D$2:$E$9,2,FALSE)&amp;VLOOKUP(E403,'מק"ט'!$F$2:$G$9,2,FALSE)&amp;D403</f>
        <v>76110609</v>
      </c>
      <c r="D403" s="46" t="s">
        <v>161</v>
      </c>
      <c r="E403" s="91" t="s">
        <v>117</v>
      </c>
      <c r="F403" s="105" t="s">
        <v>113</v>
      </c>
      <c r="G403" s="55" t="s">
        <v>25</v>
      </c>
      <c r="H403" s="49"/>
      <c r="I403" s="49"/>
      <c r="J403" s="75"/>
      <c r="K403" s="51"/>
      <c r="L403" s="227">
        <f t="shared" si="72"/>
        <v>405</v>
      </c>
      <c r="O403" s="42">
        <f>IFERROR(VLOOKUP(C403,תקציב!$D$22:$J$177,6,0),0)</f>
        <v>0</v>
      </c>
      <c r="P403" s="43">
        <f>IFERROR(VLOOKUP(C403,תקציב!$D$22:$J$177,5,0),0)</f>
        <v>0</v>
      </c>
      <c r="Q403" s="43">
        <f>IF(ISNUMBER(VLOOKUP(C403,תקציב!$D$22:$J$177,3,FALSE)),VLOOKUP(C403,תקציב!$D$22:$J$177,3,FALSE),1)</f>
        <v>1</v>
      </c>
      <c r="R403" s="43">
        <f t="shared" si="77"/>
        <v>0</v>
      </c>
      <c r="S403" s="44">
        <f t="shared" si="78"/>
        <v>0</v>
      </c>
      <c r="T403" s="186">
        <f>IFERROR(VLOOKUP(C403,תקציב!$D$22:$K$177,7,FALSE),0)-S403</f>
        <v>0</v>
      </c>
    </row>
    <row r="404" spans="2:20" ht="15" x14ac:dyDescent="0.2">
      <c r="B404" s="32" t="str">
        <f t="shared" si="56"/>
        <v>ימים</v>
      </c>
      <c r="C404" s="45" t="str">
        <f>'מק"ט'!$C$3&amp;VLOOKUP(G404,'מק"ט'!$D$2:$E$9,2,FALSE)&amp;VLOOKUP(E404,'מק"ט'!$F$2:$G$9,2,FALSE)&amp;D404</f>
        <v>76120609</v>
      </c>
      <c r="D404" s="46" t="s">
        <v>161</v>
      </c>
      <c r="E404" s="91" t="s">
        <v>117</v>
      </c>
      <c r="F404" s="105" t="s">
        <v>113</v>
      </c>
      <c r="G404" s="55" t="s">
        <v>21</v>
      </c>
      <c r="H404" s="49"/>
      <c r="I404" s="49"/>
      <c r="J404" s="75"/>
      <c r="K404" s="51"/>
      <c r="L404" s="227">
        <f t="shared" si="72"/>
        <v>405</v>
      </c>
      <c r="O404" s="42">
        <f>IFERROR(VLOOKUP(C404,תקציב!$D$22:$J$177,6,0),0)</f>
        <v>0</v>
      </c>
      <c r="P404" s="43">
        <f>IFERROR(VLOOKUP(C404,תקציב!$D$22:$J$177,5,0),0)</f>
        <v>0</v>
      </c>
      <c r="Q404" s="43">
        <f>IF(ISNUMBER(VLOOKUP(C404,תקציב!$D$22:$J$177,3,FALSE)),VLOOKUP(C404,תקציב!$D$22:$J$177,3,FALSE),1)</f>
        <v>1</v>
      </c>
      <c r="R404" s="43">
        <f t="shared" si="77"/>
        <v>0</v>
      </c>
      <c r="S404" s="44">
        <f t="shared" si="78"/>
        <v>0</v>
      </c>
      <c r="T404" s="186">
        <f>IFERROR(VLOOKUP(C404,תקציב!$D$22:$K$177,7,FALSE),0)-S404</f>
        <v>0</v>
      </c>
    </row>
    <row r="405" spans="2:20" ht="15" x14ac:dyDescent="0.2">
      <c r="B405" s="32" t="str">
        <f t="shared" ref="B405:B407" si="88">G405</f>
        <v>שבועות</v>
      </c>
      <c r="C405" s="45" t="str">
        <f>'מק"ט'!$C$3&amp;VLOOKUP(G405,'מק"ט'!$D$2:$E$9,2,FALSE)&amp;VLOOKUP(E405,'מק"ט'!$F$2:$G$9,2,FALSE)&amp;D405</f>
        <v>76130609</v>
      </c>
      <c r="D405" s="46" t="s">
        <v>161</v>
      </c>
      <c r="E405" s="91" t="s">
        <v>117</v>
      </c>
      <c r="F405" s="105" t="s">
        <v>113</v>
      </c>
      <c r="G405" s="55" t="s">
        <v>26</v>
      </c>
      <c r="H405" s="49"/>
      <c r="I405" s="49"/>
      <c r="J405" s="75"/>
      <c r="K405" s="51"/>
      <c r="L405" s="227">
        <f t="shared" si="72"/>
        <v>405</v>
      </c>
      <c r="O405" s="42"/>
      <c r="P405" s="43"/>
      <c r="Q405" s="43"/>
      <c r="R405" s="43"/>
      <c r="S405" s="44"/>
      <c r="T405" s="186"/>
    </row>
    <row r="406" spans="2:20" ht="15" x14ac:dyDescent="0.2">
      <c r="B406" s="32" t="str">
        <f t="shared" si="88"/>
        <v>חודשים</v>
      </c>
      <c r="C406" s="45" t="str">
        <f>'מק"ט'!$C$3&amp;VLOOKUP(G406,'מק"ט'!$D$2:$E$9,2,FALSE)&amp;VLOOKUP(E406,'מק"ט'!$F$2:$G$9,2,FALSE)&amp;D406</f>
        <v>76140609</v>
      </c>
      <c r="D406" s="46" t="s">
        <v>161</v>
      </c>
      <c r="E406" s="91" t="s">
        <v>117</v>
      </c>
      <c r="F406" s="105" t="s">
        <v>113</v>
      </c>
      <c r="G406" s="55" t="s">
        <v>24</v>
      </c>
      <c r="H406" s="49"/>
      <c r="I406" s="49"/>
      <c r="J406" s="75"/>
      <c r="K406" s="51"/>
      <c r="L406" s="227">
        <f t="shared" si="72"/>
        <v>405</v>
      </c>
      <c r="O406" s="42"/>
      <c r="P406" s="43"/>
      <c r="Q406" s="43"/>
      <c r="R406" s="43"/>
      <c r="S406" s="44"/>
      <c r="T406" s="186"/>
    </row>
    <row r="407" spans="2:20" ht="15" x14ac:dyDescent="0.2">
      <c r="B407" s="32" t="str">
        <f t="shared" si="88"/>
        <v>עונתי גלובלי</v>
      </c>
      <c r="C407" s="45" t="str">
        <f>'מק"ט'!$C$3&amp;VLOOKUP(G407,'מק"ט'!$D$2:$E$9,2,FALSE)&amp;VLOOKUP(E407,'מק"ט'!$F$2:$G$9,2,FALSE)&amp;D407</f>
        <v>76150609</v>
      </c>
      <c r="D407" s="46" t="s">
        <v>161</v>
      </c>
      <c r="E407" s="91" t="s">
        <v>117</v>
      </c>
      <c r="F407" s="105" t="s">
        <v>113</v>
      </c>
      <c r="G407" s="55" t="s">
        <v>23</v>
      </c>
      <c r="H407" s="49"/>
      <c r="I407" s="49"/>
      <c r="J407" s="75"/>
      <c r="K407" s="51"/>
      <c r="L407" s="227">
        <f t="shared" si="72"/>
        <v>405</v>
      </c>
      <c r="O407" s="42"/>
      <c r="P407" s="43"/>
      <c r="Q407" s="43"/>
      <c r="R407" s="43"/>
      <c r="S407" s="44"/>
      <c r="T407" s="186"/>
    </row>
    <row r="408" spans="2:20" ht="15" x14ac:dyDescent="0.2">
      <c r="B408" s="32" t="str">
        <f t="shared" si="56"/>
        <v>תכניות/פרקים</v>
      </c>
      <c r="C408" s="45" t="str">
        <f>'מק"ט'!$C$3&amp;VLOOKUP(G408,'מק"ט'!$D$2:$E$9,2,FALSE)&amp;VLOOKUP(E408,'מק"ט'!$F$2:$G$9,2,FALSE)&amp;D408</f>
        <v>76110619</v>
      </c>
      <c r="D408" s="196">
        <v>19</v>
      </c>
      <c r="E408" s="197" t="s">
        <v>117</v>
      </c>
      <c r="F408" s="203" t="s">
        <v>114</v>
      </c>
      <c r="G408" s="55" t="s">
        <v>25</v>
      </c>
      <c r="H408" s="199"/>
      <c r="I408" s="199"/>
      <c r="J408" s="200"/>
      <c r="K408" s="201"/>
      <c r="L408" s="227">
        <f t="shared" si="72"/>
        <v>410</v>
      </c>
      <c r="O408" s="42">
        <f>IFERROR(VLOOKUP(C408,תקציב!$D$22:$J$177,6,0),0)</f>
        <v>0</v>
      </c>
      <c r="P408" s="43">
        <f>IFERROR(VLOOKUP(C408,תקציב!$D$22:$J$177,5,0),0)</f>
        <v>0</v>
      </c>
      <c r="Q408" s="43">
        <f>IF(ISNUMBER(VLOOKUP(C408,תקציב!$D$22:$J$177,3,FALSE)),VLOOKUP(C408,תקציב!$D$22:$J$177,3,FALSE),1)</f>
        <v>1</v>
      </c>
      <c r="R408" s="43">
        <f t="shared" si="77"/>
        <v>0</v>
      </c>
      <c r="S408" s="44">
        <f t="shared" si="78"/>
        <v>0</v>
      </c>
      <c r="T408" s="186">
        <f>IFERROR(VLOOKUP(C408,תקציב!$D$22:$K$177,7,FALSE),0)-S408</f>
        <v>0</v>
      </c>
    </row>
    <row r="409" spans="2:20" ht="15" x14ac:dyDescent="0.2">
      <c r="B409" s="32" t="str">
        <f t="shared" ref="B409:B412" si="89">G409</f>
        <v>ימים</v>
      </c>
      <c r="C409" s="45" t="str">
        <f>'מק"ט'!$C$3&amp;VLOOKUP(G409,'מק"ט'!$D$2:$E$9,2,FALSE)&amp;VLOOKUP(E409,'מק"ט'!$F$2:$G$9,2,FALSE)&amp;D409</f>
        <v>76120619</v>
      </c>
      <c r="D409" s="196">
        <v>19</v>
      </c>
      <c r="E409" s="197" t="s">
        <v>117</v>
      </c>
      <c r="F409" s="203" t="s">
        <v>114</v>
      </c>
      <c r="G409" s="55" t="s">
        <v>21</v>
      </c>
      <c r="H409" s="199"/>
      <c r="I409" s="199"/>
      <c r="J409" s="200"/>
      <c r="K409" s="201"/>
      <c r="L409" s="227">
        <f t="shared" si="72"/>
        <v>410</v>
      </c>
      <c r="O409" s="42"/>
      <c r="P409" s="43"/>
      <c r="Q409" s="43"/>
      <c r="R409" s="43"/>
      <c r="S409" s="44"/>
      <c r="T409" s="186"/>
    </row>
    <row r="410" spans="2:20" ht="15" x14ac:dyDescent="0.2">
      <c r="B410" s="32" t="str">
        <f t="shared" si="89"/>
        <v>שבועות</v>
      </c>
      <c r="C410" s="45" t="str">
        <f>'מק"ט'!$C$3&amp;VLOOKUP(G410,'מק"ט'!$D$2:$E$9,2,FALSE)&amp;VLOOKUP(E410,'מק"ט'!$F$2:$G$9,2,FALSE)&amp;D410</f>
        <v>76130619</v>
      </c>
      <c r="D410" s="196">
        <v>19</v>
      </c>
      <c r="E410" s="197" t="s">
        <v>117</v>
      </c>
      <c r="F410" s="203" t="s">
        <v>114</v>
      </c>
      <c r="G410" s="55" t="s">
        <v>26</v>
      </c>
      <c r="H410" s="199"/>
      <c r="I410" s="199"/>
      <c r="J410" s="200"/>
      <c r="K410" s="201"/>
      <c r="L410" s="227">
        <f t="shared" si="72"/>
        <v>410</v>
      </c>
      <c r="O410" s="42"/>
      <c r="P410" s="43"/>
      <c r="Q410" s="43"/>
      <c r="R410" s="43"/>
      <c r="S410" s="44"/>
      <c r="T410" s="186"/>
    </row>
    <row r="411" spans="2:20" ht="15" x14ac:dyDescent="0.2">
      <c r="B411" s="32" t="str">
        <f t="shared" si="89"/>
        <v>חודשים</v>
      </c>
      <c r="C411" s="45" t="str">
        <f>'מק"ט'!$C$3&amp;VLOOKUP(G411,'מק"ט'!$D$2:$E$9,2,FALSE)&amp;VLOOKUP(E411,'מק"ט'!$F$2:$G$9,2,FALSE)&amp;D411</f>
        <v>76140619</v>
      </c>
      <c r="D411" s="196">
        <v>19</v>
      </c>
      <c r="E411" s="197" t="s">
        <v>117</v>
      </c>
      <c r="F411" s="203" t="s">
        <v>114</v>
      </c>
      <c r="G411" s="55" t="s">
        <v>24</v>
      </c>
      <c r="H411" s="199"/>
      <c r="I411" s="199"/>
      <c r="J411" s="200"/>
      <c r="K411" s="201"/>
      <c r="L411" s="227">
        <f t="shared" si="72"/>
        <v>410</v>
      </c>
      <c r="O411" s="42"/>
      <c r="P411" s="43"/>
      <c r="Q411" s="43"/>
      <c r="R411" s="43"/>
      <c r="S411" s="44"/>
      <c r="T411" s="186"/>
    </row>
    <row r="412" spans="2:20" ht="15" x14ac:dyDescent="0.2">
      <c r="B412" s="32" t="str">
        <f t="shared" si="89"/>
        <v>עונתי גלובלי</v>
      </c>
      <c r="C412" s="45" t="str">
        <f>'מק"ט'!$C$3&amp;VLOOKUP(G412,'מק"ט'!$D$2:$E$9,2,FALSE)&amp;VLOOKUP(E412,'מק"ט'!$F$2:$G$9,2,FALSE)&amp;D412</f>
        <v>76150619</v>
      </c>
      <c r="D412" s="196">
        <v>19</v>
      </c>
      <c r="E412" s="197" t="s">
        <v>117</v>
      </c>
      <c r="F412" s="203" t="s">
        <v>114</v>
      </c>
      <c r="G412" s="55" t="s">
        <v>23</v>
      </c>
      <c r="H412" s="199"/>
      <c r="I412" s="199"/>
      <c r="J412" s="200"/>
      <c r="K412" s="201"/>
      <c r="L412" s="227">
        <f t="shared" si="72"/>
        <v>410</v>
      </c>
      <c r="O412" s="42"/>
      <c r="P412" s="43"/>
      <c r="Q412" s="43"/>
      <c r="R412" s="43"/>
      <c r="S412" s="44"/>
      <c r="T412" s="186"/>
    </row>
    <row r="413" spans="2:20" ht="15" x14ac:dyDescent="0.2">
      <c r="B413" s="32" t="str">
        <f t="shared" si="56"/>
        <v>תכניות/פרקים</v>
      </c>
      <c r="C413" s="45" t="str">
        <f>'מק"ט'!$C$3&amp;VLOOKUP(G413,'מק"ט'!$D$2:$E$9,2,FALSE)&amp;VLOOKUP(E413,'מק"ט'!$F$2:$G$9,2,FALSE)&amp;D413</f>
        <v>76110610</v>
      </c>
      <c r="D413" s="62">
        <v>10</v>
      </c>
      <c r="E413" s="91" t="s">
        <v>117</v>
      </c>
      <c r="F413" s="105" t="s">
        <v>117</v>
      </c>
      <c r="G413" s="55" t="s">
        <v>25</v>
      </c>
      <c r="H413" s="49"/>
      <c r="I413" s="49"/>
      <c r="J413" s="75"/>
      <c r="K413" s="51"/>
      <c r="L413" s="227">
        <f t="shared" si="72"/>
        <v>415</v>
      </c>
      <c r="O413" s="42">
        <f>IFERROR(VLOOKUP(C413,תקציב!$D$22:$J$177,6,0),0)</f>
        <v>0</v>
      </c>
      <c r="P413" s="43">
        <f>IFERROR(VLOOKUP(C413,תקציב!$D$22:$J$177,5,0),0)</f>
        <v>0</v>
      </c>
      <c r="Q413" s="43">
        <f>IF(ISNUMBER(VLOOKUP(C413,תקציב!$D$22:$J$177,3,FALSE)),VLOOKUP(C413,תקציב!$D$22:$J$177,3,FALSE),1)</f>
        <v>1</v>
      </c>
      <c r="R413" s="43">
        <f t="shared" si="77"/>
        <v>0</v>
      </c>
      <c r="S413" s="44">
        <f t="shared" si="78"/>
        <v>0</v>
      </c>
      <c r="T413" s="186">
        <f>IFERROR(VLOOKUP(C413,תקציב!$D$22:$K$177,7,FALSE),0)-S413</f>
        <v>0</v>
      </c>
    </row>
    <row r="414" spans="2:20" ht="15" x14ac:dyDescent="0.2">
      <c r="B414" s="32" t="str">
        <f t="shared" si="56"/>
        <v>ימים</v>
      </c>
      <c r="C414" s="45" t="str">
        <f>'מק"ט'!$C$3&amp;VLOOKUP(G414,'מק"ט'!$D$2:$E$9,2,FALSE)&amp;VLOOKUP(E414,'מק"ט'!$F$2:$G$9,2,FALSE)&amp;D414</f>
        <v>76120610</v>
      </c>
      <c r="D414" s="62">
        <v>10</v>
      </c>
      <c r="E414" s="91" t="s">
        <v>117</v>
      </c>
      <c r="F414" s="105" t="s">
        <v>117</v>
      </c>
      <c r="G414" s="55" t="s">
        <v>21</v>
      </c>
      <c r="H414" s="49"/>
      <c r="I414" s="49"/>
      <c r="J414" s="75"/>
      <c r="K414" s="51"/>
      <c r="L414" s="227">
        <f t="shared" si="72"/>
        <v>415</v>
      </c>
      <c r="O414" s="42">
        <f>IFERROR(VLOOKUP(C414,תקציב!$D$22:$J$177,6,0),0)</f>
        <v>0</v>
      </c>
      <c r="P414" s="43">
        <f>IFERROR(VLOOKUP(C414,תקציב!$D$22:$J$177,5,0),0)</f>
        <v>0</v>
      </c>
      <c r="Q414" s="43">
        <f>IF(ISNUMBER(VLOOKUP(C414,תקציב!$D$22:$J$177,3,FALSE)),VLOOKUP(C414,תקציב!$D$22:$J$177,3,FALSE),1)</f>
        <v>1</v>
      </c>
      <c r="R414" s="43">
        <f t="shared" si="77"/>
        <v>0</v>
      </c>
      <c r="S414" s="44">
        <f t="shared" si="78"/>
        <v>0</v>
      </c>
      <c r="T414" s="186">
        <f>IFERROR(VLOOKUP(C414,תקציב!$D$22:$K$177,7,FALSE),0)-S414</f>
        <v>0</v>
      </c>
    </row>
    <row r="415" spans="2:20" ht="15" x14ac:dyDescent="0.2">
      <c r="B415" s="32" t="str">
        <f t="shared" ref="B415:B417" si="90">G415</f>
        <v>שבועות</v>
      </c>
      <c r="C415" s="45" t="str">
        <f>'מק"ט'!$C$3&amp;VLOOKUP(G415,'מק"ט'!$D$2:$E$9,2,FALSE)&amp;VLOOKUP(E415,'מק"ט'!$F$2:$G$9,2,FALSE)&amp;D415</f>
        <v>76130610</v>
      </c>
      <c r="D415" s="62">
        <v>10</v>
      </c>
      <c r="E415" s="91" t="s">
        <v>117</v>
      </c>
      <c r="F415" s="105" t="s">
        <v>117</v>
      </c>
      <c r="G415" s="55" t="s">
        <v>26</v>
      </c>
      <c r="H415" s="49"/>
      <c r="I415" s="49"/>
      <c r="J415" s="75"/>
      <c r="K415" s="51"/>
      <c r="L415" s="227">
        <f t="shared" si="72"/>
        <v>415</v>
      </c>
      <c r="O415" s="42"/>
      <c r="P415" s="43"/>
      <c r="Q415" s="43"/>
      <c r="R415" s="43"/>
      <c r="S415" s="44"/>
      <c r="T415" s="186"/>
    </row>
    <row r="416" spans="2:20" ht="15" x14ac:dyDescent="0.2">
      <c r="B416" s="32" t="str">
        <f t="shared" si="90"/>
        <v>חודשים</v>
      </c>
      <c r="C416" s="45" t="str">
        <f>'מק"ט'!$C$3&amp;VLOOKUP(G416,'מק"ט'!$D$2:$E$9,2,FALSE)&amp;VLOOKUP(E416,'מק"ט'!$F$2:$G$9,2,FALSE)&amp;D416</f>
        <v>76140610</v>
      </c>
      <c r="D416" s="62">
        <v>10</v>
      </c>
      <c r="E416" s="91" t="s">
        <v>117</v>
      </c>
      <c r="F416" s="105" t="s">
        <v>117</v>
      </c>
      <c r="G416" s="55" t="s">
        <v>24</v>
      </c>
      <c r="H416" s="49"/>
      <c r="I416" s="49"/>
      <c r="J416" s="75"/>
      <c r="K416" s="51"/>
      <c r="L416" s="227">
        <f t="shared" ref="L416:L479" si="91">IF(F416=F415,L415,L415+5)</f>
        <v>415</v>
      </c>
      <c r="O416" s="42"/>
      <c r="P416" s="43"/>
      <c r="Q416" s="43"/>
      <c r="R416" s="43"/>
      <c r="S416" s="44"/>
      <c r="T416" s="186"/>
    </row>
    <row r="417" spans="2:20" ht="15.75" thickBot="1" x14ac:dyDescent="0.25">
      <c r="B417" s="32" t="str">
        <f t="shared" si="90"/>
        <v>עונתי גלובלי</v>
      </c>
      <c r="C417" s="45" t="str">
        <f>'מק"ט'!$C$3&amp;VLOOKUP(G417,'מק"ט'!$D$2:$E$9,2,FALSE)&amp;VLOOKUP(E417,'מק"ט'!$F$2:$G$9,2,FALSE)&amp;D417</f>
        <v>76150610</v>
      </c>
      <c r="D417" s="62">
        <v>10</v>
      </c>
      <c r="E417" s="91" t="s">
        <v>117</v>
      </c>
      <c r="F417" s="105" t="s">
        <v>117</v>
      </c>
      <c r="G417" s="55" t="s">
        <v>23</v>
      </c>
      <c r="H417" s="112"/>
      <c r="I417" s="112"/>
      <c r="J417" s="194"/>
      <c r="K417" s="113"/>
      <c r="L417" s="227">
        <f t="shared" si="91"/>
        <v>415</v>
      </c>
      <c r="O417" s="42">
        <f>IFERROR(VLOOKUP(C417,תקציב!$D$22:$J$177,6,0),0)</f>
        <v>0</v>
      </c>
      <c r="P417" s="43">
        <f>IFERROR(VLOOKUP(C417,תקציב!$D$22:$J$177,5,0),0)</f>
        <v>0</v>
      </c>
      <c r="Q417" s="43">
        <f>IF(ISNUMBER(VLOOKUP(C417,תקציב!$D$22:$J$177,3,FALSE)),VLOOKUP(C417,תקציב!$D$22:$J$177,3,FALSE),1)</f>
        <v>1</v>
      </c>
      <c r="R417" s="43">
        <f t="shared" si="77"/>
        <v>0</v>
      </c>
      <c r="S417" s="44">
        <f t="shared" si="78"/>
        <v>0</v>
      </c>
      <c r="T417" s="186">
        <f>IFERROR(VLOOKUP(C417,תקציב!$D$22:$K$177,7,FALSE),0)-S417</f>
        <v>0</v>
      </c>
    </row>
    <row r="418" spans="2:20" ht="15" x14ac:dyDescent="0.2">
      <c r="B418" s="228" t="str">
        <f t="shared" si="56"/>
        <v>תכניות/פרקים</v>
      </c>
      <c r="C418" s="36" t="str">
        <f>'מק"ט'!$C$3&amp;VLOOKUP(G418,'מק"ט'!$D$2:$E$9,2,FALSE)&amp;VLOOKUP(E418,'מק"ט'!$F$2:$G$9,2,FALSE)&amp;D418</f>
        <v>76110700</v>
      </c>
      <c r="D418" s="97" t="s">
        <v>174</v>
      </c>
      <c r="E418" s="98" t="s">
        <v>137</v>
      </c>
      <c r="F418" s="99" t="s">
        <v>119</v>
      </c>
      <c r="G418" s="55" t="s">
        <v>25</v>
      </c>
      <c r="H418" s="101"/>
      <c r="I418" s="101"/>
      <c r="J418" s="101"/>
      <c r="K418" s="106" t="s">
        <v>175</v>
      </c>
      <c r="L418" s="227">
        <f t="shared" si="91"/>
        <v>420</v>
      </c>
      <c r="O418" s="42">
        <f>IFERROR(VLOOKUP(C418,תקציב!$D$22:$J$177,6,0),0)</f>
        <v>0</v>
      </c>
      <c r="P418" s="43">
        <f>IFERROR(VLOOKUP(C418,תקציב!$D$22:$J$177,5,0),0)</f>
        <v>0</v>
      </c>
      <c r="Q418" s="43">
        <f>IF(ISNUMBER(VLOOKUP(C418,תקציב!$D$22:$J$177,3,FALSE)),VLOOKUP(C418,תקציב!$D$22:$J$177,3,FALSE),1)</f>
        <v>1</v>
      </c>
      <c r="R418" s="43">
        <f t="shared" si="77"/>
        <v>0</v>
      </c>
      <c r="S418" s="44">
        <f t="shared" si="78"/>
        <v>0</v>
      </c>
      <c r="T418" s="186">
        <f>IFERROR(VLOOKUP(C418,תקציב!$D$22:$K$177,7,FALSE),0)-S418</f>
        <v>0</v>
      </c>
    </row>
    <row r="419" spans="2:20" ht="15" x14ac:dyDescent="0.2">
      <c r="B419" s="228" t="str">
        <f t="shared" si="56"/>
        <v>ימים</v>
      </c>
      <c r="C419" s="45" t="str">
        <f>'מק"ט'!$C$3&amp;VLOOKUP(G419,'מק"ט'!$D$2:$E$9,2,FALSE)&amp;VLOOKUP(E419,'מק"ט'!$F$2:$G$9,2,FALSE)&amp;D419</f>
        <v>76120700</v>
      </c>
      <c r="D419" s="76" t="s">
        <v>174</v>
      </c>
      <c r="E419" s="93" t="s">
        <v>137</v>
      </c>
      <c r="F419" s="88" t="s">
        <v>119</v>
      </c>
      <c r="G419" s="55" t="s">
        <v>21</v>
      </c>
      <c r="H419" s="68"/>
      <c r="I419" s="68"/>
      <c r="J419" s="68"/>
      <c r="K419" s="64"/>
      <c r="L419" s="227">
        <f t="shared" si="91"/>
        <v>420</v>
      </c>
      <c r="O419" s="42">
        <f>IFERROR(VLOOKUP(C419,תקציב!$D$22:$J$177,6,0),0)</f>
        <v>0</v>
      </c>
      <c r="P419" s="43">
        <f>IFERROR(VLOOKUP(C419,תקציב!$D$22:$J$177,5,0),0)</f>
        <v>0</v>
      </c>
      <c r="Q419" s="43">
        <f>IF(ISNUMBER(VLOOKUP(C419,תקציב!$D$22:$J$177,3,FALSE)),VLOOKUP(C419,תקציב!$D$22:$J$177,3,FALSE),1)</f>
        <v>1</v>
      </c>
      <c r="R419" s="43">
        <f t="shared" si="77"/>
        <v>0</v>
      </c>
      <c r="S419" s="44">
        <f t="shared" si="78"/>
        <v>0</v>
      </c>
      <c r="T419" s="186">
        <f>IFERROR(VLOOKUP(C419,תקציב!$D$22:$K$177,7,FALSE),0)-S419</f>
        <v>0</v>
      </c>
    </row>
    <row r="420" spans="2:20" ht="15" x14ac:dyDescent="0.2">
      <c r="B420" s="228" t="str">
        <f t="shared" ref="B420:B422" si="92">G420</f>
        <v>שבועות</v>
      </c>
      <c r="C420" s="45" t="str">
        <f>'מק"ט'!$C$3&amp;VLOOKUP(G420,'מק"ט'!$D$2:$E$9,2,FALSE)&amp;VLOOKUP(E420,'מק"ט'!$F$2:$G$9,2,FALSE)&amp;D420</f>
        <v>76130700</v>
      </c>
      <c r="D420" s="76" t="s">
        <v>174</v>
      </c>
      <c r="E420" s="93" t="s">
        <v>137</v>
      </c>
      <c r="F420" s="88" t="s">
        <v>119</v>
      </c>
      <c r="G420" s="55" t="s">
        <v>26</v>
      </c>
      <c r="H420" s="68"/>
      <c r="I420" s="68"/>
      <c r="J420" s="68"/>
      <c r="K420" s="64"/>
      <c r="L420" s="227">
        <f t="shared" si="91"/>
        <v>420</v>
      </c>
      <c r="O420" s="42"/>
      <c r="P420" s="43"/>
      <c r="Q420" s="43"/>
      <c r="R420" s="43"/>
      <c r="S420" s="44"/>
      <c r="T420" s="186"/>
    </row>
    <row r="421" spans="2:20" ht="15" x14ac:dyDescent="0.2">
      <c r="B421" s="228" t="str">
        <f t="shared" si="92"/>
        <v>חודשים</v>
      </c>
      <c r="C421" s="45" t="str">
        <f>'מק"ט'!$C$3&amp;VLOOKUP(G421,'מק"ט'!$D$2:$E$9,2,FALSE)&amp;VLOOKUP(E421,'מק"ט'!$F$2:$G$9,2,FALSE)&amp;D421</f>
        <v>76140700</v>
      </c>
      <c r="D421" s="76" t="s">
        <v>174</v>
      </c>
      <c r="E421" s="93" t="s">
        <v>137</v>
      </c>
      <c r="F421" s="88" t="s">
        <v>119</v>
      </c>
      <c r="G421" s="55" t="s">
        <v>24</v>
      </c>
      <c r="H421" s="68"/>
      <c r="I421" s="68"/>
      <c r="J421" s="68"/>
      <c r="K421" s="64"/>
      <c r="L421" s="227">
        <f t="shared" si="91"/>
        <v>420</v>
      </c>
      <c r="O421" s="42"/>
      <c r="P421" s="43"/>
      <c r="Q421" s="43"/>
      <c r="R421" s="43"/>
      <c r="S421" s="44"/>
      <c r="T421" s="186"/>
    </row>
    <row r="422" spans="2:20" ht="15" x14ac:dyDescent="0.2">
      <c r="B422" s="228" t="str">
        <f t="shared" si="92"/>
        <v>עונתי גלובלי</v>
      </c>
      <c r="C422" s="45" t="str">
        <f>'מק"ט'!$C$3&amp;VLOOKUP(G422,'מק"ט'!$D$2:$E$9,2,FALSE)&amp;VLOOKUP(E422,'מק"ט'!$F$2:$G$9,2,FALSE)&amp;D422</f>
        <v>76150700</v>
      </c>
      <c r="D422" s="76" t="s">
        <v>174</v>
      </c>
      <c r="E422" s="93" t="s">
        <v>137</v>
      </c>
      <c r="F422" s="88" t="s">
        <v>119</v>
      </c>
      <c r="G422" s="55" t="s">
        <v>23</v>
      </c>
      <c r="H422" s="68"/>
      <c r="I422" s="68"/>
      <c r="J422" s="68"/>
      <c r="K422" s="64"/>
      <c r="L422" s="227">
        <f t="shared" si="91"/>
        <v>420</v>
      </c>
      <c r="O422" s="42"/>
      <c r="P422" s="43"/>
      <c r="Q422" s="43"/>
      <c r="R422" s="43"/>
      <c r="S422" s="44"/>
      <c r="T422" s="186"/>
    </row>
    <row r="423" spans="2:20" ht="15" x14ac:dyDescent="0.2">
      <c r="B423" s="32" t="str">
        <f t="shared" si="56"/>
        <v>תכניות/פרקים</v>
      </c>
      <c r="C423" s="45" t="str">
        <f>'מק"ט'!$C$3&amp;VLOOKUP(G423,'מק"ט'!$D$2:$E$9,2,FALSE)&amp;VLOOKUP(E423,'מק"ט'!$F$2:$G$9,2,FALSE)&amp;D423</f>
        <v>76110713</v>
      </c>
      <c r="D423" s="62">
        <v>13</v>
      </c>
      <c r="E423" s="91" t="s">
        <v>137</v>
      </c>
      <c r="F423" s="92" t="s">
        <v>120</v>
      </c>
      <c r="G423" s="55" t="s">
        <v>25</v>
      </c>
      <c r="H423" s="50"/>
      <c r="I423" s="50"/>
      <c r="J423" s="50"/>
      <c r="K423" s="67" t="s">
        <v>175</v>
      </c>
      <c r="L423" s="227">
        <f t="shared" si="91"/>
        <v>425</v>
      </c>
      <c r="O423" s="42">
        <f>IFERROR(VLOOKUP(C423,תקציב!$D$22:$J$177,6,0),0)</f>
        <v>0</v>
      </c>
      <c r="P423" s="43">
        <f>IFERROR(VLOOKUP(C423,תקציב!$D$22:$J$177,5,0),0)</f>
        <v>0</v>
      </c>
      <c r="Q423" s="43">
        <f>IF(ISNUMBER(VLOOKUP(C423,תקציב!$D$22:$J$177,3,FALSE)),VLOOKUP(C423,תקציב!$D$22:$J$177,3,FALSE),1)</f>
        <v>1</v>
      </c>
      <c r="R423" s="43">
        <f t="shared" si="77"/>
        <v>0</v>
      </c>
      <c r="S423" s="44">
        <f t="shared" si="78"/>
        <v>0</v>
      </c>
      <c r="T423" s="186">
        <f>IFERROR(VLOOKUP(C423,תקציב!$D$22:$K$177,7,FALSE),0)-S423</f>
        <v>0</v>
      </c>
    </row>
    <row r="424" spans="2:20" ht="15" x14ac:dyDescent="0.2">
      <c r="B424" s="32" t="str">
        <f t="shared" si="56"/>
        <v>ימים</v>
      </c>
      <c r="C424" s="45" t="str">
        <f>'מק"ט'!$C$3&amp;VLOOKUP(G424,'מק"ט'!$D$2:$E$9,2,FALSE)&amp;VLOOKUP(E424,'מק"ט'!$F$2:$G$9,2,FALSE)&amp;D424</f>
        <v>76120713</v>
      </c>
      <c r="D424" s="62">
        <v>13</v>
      </c>
      <c r="E424" s="91" t="s">
        <v>137</v>
      </c>
      <c r="F424" s="92" t="s">
        <v>120</v>
      </c>
      <c r="G424" s="55" t="s">
        <v>21</v>
      </c>
      <c r="H424" s="49"/>
      <c r="I424" s="75"/>
      <c r="J424" s="75"/>
      <c r="K424" s="67"/>
      <c r="L424" s="227">
        <f t="shared" si="91"/>
        <v>425</v>
      </c>
      <c r="O424" s="42">
        <f>IFERROR(VLOOKUP(C424,תקציב!$D$22:$J$177,6,0),0)</f>
        <v>0</v>
      </c>
      <c r="P424" s="43">
        <f>IFERROR(VLOOKUP(C424,תקציב!$D$22:$J$177,5,0),0)</f>
        <v>0</v>
      </c>
      <c r="Q424" s="43">
        <f>IF(ISNUMBER(VLOOKUP(C424,תקציב!$D$22:$J$177,3,FALSE)),VLOOKUP(C424,תקציב!$D$22:$J$177,3,FALSE),1)</f>
        <v>1</v>
      </c>
      <c r="R424" s="43">
        <f t="shared" si="77"/>
        <v>0</v>
      </c>
      <c r="S424" s="44">
        <f t="shared" si="78"/>
        <v>0</v>
      </c>
      <c r="T424" s="186">
        <f>IFERROR(VLOOKUP(C424,תקציב!$D$22:$K$177,7,FALSE),0)-S424</f>
        <v>0</v>
      </c>
    </row>
    <row r="425" spans="2:20" ht="15" x14ac:dyDescent="0.2">
      <c r="B425" s="32" t="str">
        <f t="shared" ref="B425:B427" si="93">G425</f>
        <v>שבועות</v>
      </c>
      <c r="C425" s="45" t="str">
        <f>'מק"ט'!$C$3&amp;VLOOKUP(G425,'מק"ט'!$D$2:$E$9,2,FALSE)&amp;VLOOKUP(E425,'מק"ט'!$F$2:$G$9,2,FALSE)&amp;D425</f>
        <v>76130713</v>
      </c>
      <c r="D425" s="62">
        <v>13</v>
      </c>
      <c r="E425" s="91" t="s">
        <v>137</v>
      </c>
      <c r="F425" s="92" t="s">
        <v>120</v>
      </c>
      <c r="G425" s="55" t="s">
        <v>26</v>
      </c>
      <c r="H425" s="49"/>
      <c r="I425" s="75"/>
      <c r="J425" s="75"/>
      <c r="K425" s="67"/>
      <c r="L425" s="227">
        <f t="shared" si="91"/>
        <v>425</v>
      </c>
      <c r="O425" s="42"/>
      <c r="P425" s="43"/>
      <c r="Q425" s="43"/>
      <c r="R425" s="43"/>
      <c r="S425" s="44"/>
      <c r="T425" s="186"/>
    </row>
    <row r="426" spans="2:20" ht="15" x14ac:dyDescent="0.2">
      <c r="B426" s="32" t="str">
        <f t="shared" si="93"/>
        <v>חודשים</v>
      </c>
      <c r="C426" s="45" t="str">
        <f>'מק"ט'!$C$3&amp;VLOOKUP(G426,'מק"ט'!$D$2:$E$9,2,FALSE)&amp;VLOOKUP(E426,'מק"ט'!$F$2:$G$9,2,FALSE)&amp;D426</f>
        <v>76140713</v>
      </c>
      <c r="D426" s="62">
        <v>13</v>
      </c>
      <c r="E426" s="91" t="s">
        <v>137</v>
      </c>
      <c r="F426" s="92" t="s">
        <v>120</v>
      </c>
      <c r="G426" s="55" t="s">
        <v>24</v>
      </c>
      <c r="H426" s="49"/>
      <c r="I426" s="75"/>
      <c r="J426" s="75"/>
      <c r="K426" s="67"/>
      <c r="L426" s="227">
        <f t="shared" si="91"/>
        <v>425</v>
      </c>
      <c r="O426" s="42"/>
      <c r="P426" s="43"/>
      <c r="Q426" s="43"/>
      <c r="R426" s="43"/>
      <c r="S426" s="44"/>
      <c r="T426" s="186"/>
    </row>
    <row r="427" spans="2:20" ht="15" x14ac:dyDescent="0.2">
      <c r="B427" s="32" t="str">
        <f t="shared" si="93"/>
        <v>עונתי גלובלי</v>
      </c>
      <c r="C427" s="45" t="str">
        <f>'מק"ט'!$C$3&amp;VLOOKUP(G427,'מק"ט'!$D$2:$E$9,2,FALSE)&amp;VLOOKUP(E427,'מק"ט'!$F$2:$G$9,2,FALSE)&amp;D427</f>
        <v>76150713</v>
      </c>
      <c r="D427" s="62">
        <v>13</v>
      </c>
      <c r="E427" s="91" t="s">
        <v>137</v>
      </c>
      <c r="F427" s="92" t="s">
        <v>120</v>
      </c>
      <c r="G427" s="55" t="s">
        <v>23</v>
      </c>
      <c r="H427" s="49"/>
      <c r="I427" s="75"/>
      <c r="J427" s="75"/>
      <c r="K427" s="67"/>
      <c r="L427" s="227">
        <f t="shared" si="91"/>
        <v>425</v>
      </c>
      <c r="O427" s="42"/>
      <c r="P427" s="43"/>
      <c r="Q427" s="43"/>
      <c r="R427" s="43"/>
      <c r="S427" s="44"/>
      <c r="T427" s="186"/>
    </row>
    <row r="428" spans="2:20" ht="15" x14ac:dyDescent="0.2">
      <c r="B428" s="32" t="str">
        <f t="shared" si="56"/>
        <v>תכניות/פרקים</v>
      </c>
      <c r="C428" s="45" t="str">
        <f>'מק"ט'!$C$3&amp;VLOOKUP(G428,'מק"ט'!$D$2:$E$9,2,FALSE)&amp;VLOOKUP(E428,'מק"ט'!$F$2:$G$9,2,FALSE)&amp;D428</f>
        <v>76110701</v>
      </c>
      <c r="D428" s="76" t="s">
        <v>167</v>
      </c>
      <c r="E428" s="93" t="s">
        <v>137</v>
      </c>
      <c r="F428" s="94" t="s">
        <v>121</v>
      </c>
      <c r="G428" s="55" t="s">
        <v>25</v>
      </c>
      <c r="H428" s="68"/>
      <c r="I428" s="68"/>
      <c r="J428" s="68"/>
      <c r="K428" s="64" t="s">
        <v>176</v>
      </c>
      <c r="L428" s="227">
        <f t="shared" si="91"/>
        <v>430</v>
      </c>
      <c r="O428" s="42">
        <f>IFERROR(VLOOKUP(C428,תקציב!$D$22:$J$177,6,0),0)</f>
        <v>0</v>
      </c>
      <c r="P428" s="43">
        <f>IFERROR(VLOOKUP(C428,תקציב!$D$22:$J$177,5,0),0)</f>
        <v>0</v>
      </c>
      <c r="Q428" s="43">
        <f>IF(ISNUMBER(VLOOKUP(C428,תקציב!$D$22:$J$177,3,FALSE)),VLOOKUP(C428,תקציב!$D$22:$J$177,3,FALSE),1)</f>
        <v>1</v>
      </c>
      <c r="R428" s="43">
        <f t="shared" si="77"/>
        <v>0</v>
      </c>
      <c r="S428" s="44">
        <f t="shared" si="78"/>
        <v>0</v>
      </c>
      <c r="T428" s="186">
        <f>IFERROR(VLOOKUP(C428,תקציב!$D$22:$K$177,7,FALSE),0)-S428</f>
        <v>0</v>
      </c>
    </row>
    <row r="429" spans="2:20" ht="15" x14ac:dyDescent="0.2">
      <c r="B429" s="32" t="str">
        <f t="shared" si="56"/>
        <v>ימים</v>
      </c>
      <c r="C429" s="45" t="str">
        <f>'מק"ט'!$C$3&amp;VLOOKUP(G429,'מק"ט'!$D$2:$E$9,2,FALSE)&amp;VLOOKUP(E429,'מק"ט'!$F$2:$G$9,2,FALSE)&amp;D429</f>
        <v>76120701</v>
      </c>
      <c r="D429" s="76" t="s">
        <v>167</v>
      </c>
      <c r="E429" s="93" t="s">
        <v>137</v>
      </c>
      <c r="F429" s="94" t="s">
        <v>121</v>
      </c>
      <c r="G429" s="55" t="s">
        <v>21</v>
      </c>
      <c r="H429" s="68"/>
      <c r="I429" s="68"/>
      <c r="J429" s="68"/>
      <c r="K429" s="64"/>
      <c r="L429" s="227">
        <f t="shared" si="91"/>
        <v>430</v>
      </c>
      <c r="O429" s="42">
        <f>IFERROR(VLOOKUP(C429,תקציב!$D$22:$J$177,6,0),0)</f>
        <v>0</v>
      </c>
      <c r="P429" s="43">
        <f>IFERROR(VLOOKUP(C429,תקציב!$D$22:$J$177,5,0),0)</f>
        <v>0</v>
      </c>
      <c r="Q429" s="43">
        <f>IF(ISNUMBER(VLOOKUP(C429,תקציב!$D$22:$J$177,3,FALSE)),VLOOKUP(C429,תקציב!$D$22:$J$177,3,FALSE),1)</f>
        <v>1</v>
      </c>
      <c r="R429" s="43">
        <f t="shared" si="77"/>
        <v>0</v>
      </c>
      <c r="S429" s="44">
        <f t="shared" si="78"/>
        <v>0</v>
      </c>
      <c r="T429" s="186">
        <f>IFERROR(VLOOKUP(C429,תקציב!$D$22:$K$177,7,FALSE),0)-S429</f>
        <v>0</v>
      </c>
    </row>
    <row r="430" spans="2:20" ht="15" x14ac:dyDescent="0.2">
      <c r="B430" s="32" t="str">
        <f t="shared" si="56"/>
        <v>שבועות</v>
      </c>
      <c r="C430" s="45" t="str">
        <f>'מק"ט'!$C$3&amp;VLOOKUP(G430,'מק"ט'!$D$2:$E$9,2,FALSE)&amp;VLOOKUP(E430,'מק"ט'!$F$2:$G$9,2,FALSE)&amp;D430</f>
        <v>76130701</v>
      </c>
      <c r="D430" s="76" t="s">
        <v>167</v>
      </c>
      <c r="E430" s="93" t="s">
        <v>137</v>
      </c>
      <c r="F430" s="94" t="s">
        <v>121</v>
      </c>
      <c r="G430" s="55" t="s">
        <v>26</v>
      </c>
      <c r="H430" s="68"/>
      <c r="I430" s="68"/>
      <c r="J430" s="68"/>
      <c r="K430" s="64"/>
      <c r="L430" s="227">
        <f t="shared" si="91"/>
        <v>430</v>
      </c>
      <c r="O430" s="42">
        <f>IFERROR(VLOOKUP(C430,תקציב!$D$22:$J$177,6,0),0)</f>
        <v>0</v>
      </c>
      <c r="P430" s="43">
        <f>IFERROR(VLOOKUP(C430,תקציב!$D$22:$J$177,5,0),0)</f>
        <v>0</v>
      </c>
      <c r="Q430" s="43">
        <f>IF(ISNUMBER(VLOOKUP(C430,תקציב!$D$22:$J$177,3,FALSE)),VLOOKUP(C430,תקציב!$D$22:$J$177,3,FALSE),1)</f>
        <v>1</v>
      </c>
      <c r="R430" s="43">
        <f t="shared" si="77"/>
        <v>0</v>
      </c>
      <c r="S430" s="44">
        <f t="shared" si="78"/>
        <v>0</v>
      </c>
      <c r="T430" s="186">
        <f>IFERROR(VLOOKUP(C430,תקציב!$D$22:$K$177,7,FALSE),0)-S430</f>
        <v>0</v>
      </c>
    </row>
    <row r="431" spans="2:20" ht="15" x14ac:dyDescent="0.2">
      <c r="B431" s="32" t="str">
        <f t="shared" ref="B431:B432" si="94">G431</f>
        <v>חודשים</v>
      </c>
      <c r="C431" s="45" t="str">
        <f>'מק"ט'!$C$3&amp;VLOOKUP(G431,'מק"ט'!$D$2:$E$9,2,FALSE)&amp;VLOOKUP(E431,'מק"ט'!$F$2:$G$9,2,FALSE)&amp;D431</f>
        <v>76140701</v>
      </c>
      <c r="D431" s="76" t="s">
        <v>167</v>
      </c>
      <c r="E431" s="93" t="s">
        <v>137</v>
      </c>
      <c r="F431" s="94" t="s">
        <v>121</v>
      </c>
      <c r="G431" s="55" t="s">
        <v>24</v>
      </c>
      <c r="H431" s="68"/>
      <c r="I431" s="68"/>
      <c r="J431" s="68"/>
      <c r="K431" s="64"/>
      <c r="L431" s="227">
        <f t="shared" si="91"/>
        <v>430</v>
      </c>
      <c r="O431" s="42"/>
      <c r="P431" s="43"/>
      <c r="Q431" s="43"/>
      <c r="R431" s="43"/>
      <c r="S431" s="44"/>
      <c r="T431" s="186"/>
    </row>
    <row r="432" spans="2:20" ht="15" x14ac:dyDescent="0.2">
      <c r="B432" s="32" t="str">
        <f t="shared" si="94"/>
        <v>עונתי גלובלי</v>
      </c>
      <c r="C432" s="45" t="str">
        <f>'מק"ט'!$C$3&amp;VLOOKUP(G432,'מק"ט'!$D$2:$E$9,2,FALSE)&amp;VLOOKUP(E432,'מק"ט'!$F$2:$G$9,2,FALSE)&amp;D432</f>
        <v>76150701</v>
      </c>
      <c r="D432" s="76" t="s">
        <v>167</v>
      </c>
      <c r="E432" s="93" t="s">
        <v>137</v>
      </c>
      <c r="F432" s="94" t="s">
        <v>121</v>
      </c>
      <c r="G432" s="55" t="s">
        <v>23</v>
      </c>
      <c r="H432" s="68"/>
      <c r="I432" s="68"/>
      <c r="J432" s="68"/>
      <c r="K432" s="64"/>
      <c r="L432" s="227">
        <f t="shared" si="91"/>
        <v>430</v>
      </c>
      <c r="O432" s="42"/>
      <c r="P432" s="43"/>
      <c r="Q432" s="43"/>
      <c r="R432" s="43"/>
      <c r="S432" s="44"/>
      <c r="T432" s="186"/>
    </row>
    <row r="433" spans="2:20" ht="15" x14ac:dyDescent="0.2">
      <c r="B433" s="32" t="str">
        <f t="shared" si="56"/>
        <v>תכניות/פרקים</v>
      </c>
      <c r="C433" s="45" t="str">
        <f>'מק"ט'!$C$3&amp;VLOOKUP(G433,'מק"ט'!$D$2:$E$9,2,FALSE)&amp;VLOOKUP(E433,'מק"ט'!$F$2:$G$9,2,FALSE)&amp;D433</f>
        <v>76110702</v>
      </c>
      <c r="D433" s="46" t="s">
        <v>163</v>
      </c>
      <c r="E433" s="91" t="s">
        <v>137</v>
      </c>
      <c r="F433" s="92" t="s">
        <v>122</v>
      </c>
      <c r="G433" s="55" t="s">
        <v>25</v>
      </c>
      <c r="H433" s="49"/>
      <c r="I433" s="75"/>
      <c r="J433" s="50"/>
      <c r="K433" s="67" t="s">
        <v>177</v>
      </c>
      <c r="L433" s="227">
        <f t="shared" si="91"/>
        <v>435</v>
      </c>
      <c r="O433" s="42">
        <f>IFERROR(VLOOKUP(C433,תקציב!$D$22:$J$177,6,0),0)</f>
        <v>0</v>
      </c>
      <c r="P433" s="43">
        <f>IFERROR(VLOOKUP(C433,תקציב!$D$22:$J$177,5,0),0)</f>
        <v>0</v>
      </c>
      <c r="Q433" s="43">
        <f>IF(ISNUMBER(VLOOKUP(C433,תקציב!$D$22:$J$177,3,FALSE)),VLOOKUP(C433,תקציב!$D$22:$J$177,3,FALSE),1)</f>
        <v>1</v>
      </c>
      <c r="R433" s="43">
        <f t="shared" si="77"/>
        <v>0</v>
      </c>
      <c r="S433" s="44">
        <f t="shared" si="78"/>
        <v>0</v>
      </c>
      <c r="T433" s="186">
        <f>IFERROR(VLOOKUP(C433,תקציב!$D$22:$K$177,7,FALSE),0)-S433</f>
        <v>0</v>
      </c>
    </row>
    <row r="434" spans="2:20" ht="15" x14ac:dyDescent="0.2">
      <c r="B434" s="32" t="str">
        <f t="shared" si="56"/>
        <v>ימים</v>
      </c>
      <c r="C434" s="45" t="str">
        <f>'מק"ט'!$C$3&amp;VLOOKUP(G434,'מק"ט'!$D$2:$E$9,2,FALSE)&amp;VLOOKUP(E434,'מק"ט'!$F$2:$G$9,2,FALSE)&amp;D434</f>
        <v>76120702</v>
      </c>
      <c r="D434" s="46" t="s">
        <v>163</v>
      </c>
      <c r="E434" s="91" t="s">
        <v>137</v>
      </c>
      <c r="F434" s="92" t="s">
        <v>122</v>
      </c>
      <c r="G434" s="55" t="s">
        <v>21</v>
      </c>
      <c r="H434" s="49"/>
      <c r="I434" s="75"/>
      <c r="J434" s="75"/>
      <c r="K434" s="67"/>
      <c r="L434" s="227">
        <f t="shared" si="91"/>
        <v>435</v>
      </c>
      <c r="O434" s="42">
        <f>IFERROR(VLOOKUP(C434,תקציב!$D$22:$J$177,6,0),0)</f>
        <v>0</v>
      </c>
      <c r="P434" s="43">
        <f>IFERROR(VLOOKUP(C434,תקציב!$D$22:$J$177,5,0),0)</f>
        <v>0</v>
      </c>
      <c r="Q434" s="43">
        <f>IF(ISNUMBER(VLOOKUP(C434,תקציב!$D$22:$J$177,3,FALSE)),VLOOKUP(C434,תקציב!$D$22:$J$177,3,FALSE),1)</f>
        <v>1</v>
      </c>
      <c r="R434" s="43">
        <f>IFERROR((P434*Q434),0)</f>
        <v>0</v>
      </c>
      <c r="S434" s="44">
        <f>O434*R434</f>
        <v>0</v>
      </c>
      <c r="T434" s="186">
        <f>IFERROR(VLOOKUP(C434,תקציב!$D$22:$K$177,7,FALSE),0)-S434</f>
        <v>0</v>
      </c>
    </row>
    <row r="435" spans="2:20" ht="15" x14ac:dyDescent="0.2">
      <c r="B435" s="32" t="str">
        <f t="shared" ref="B435:B437" si="95">G435</f>
        <v>שבועות</v>
      </c>
      <c r="C435" s="45" t="str">
        <f>'מק"ט'!$C$3&amp;VLOOKUP(G435,'מק"ט'!$D$2:$E$9,2,FALSE)&amp;VLOOKUP(E435,'מק"ט'!$F$2:$G$9,2,FALSE)&amp;D435</f>
        <v>76130702</v>
      </c>
      <c r="D435" s="46" t="s">
        <v>163</v>
      </c>
      <c r="E435" s="91" t="s">
        <v>137</v>
      </c>
      <c r="F435" s="92" t="s">
        <v>122</v>
      </c>
      <c r="G435" s="55" t="s">
        <v>26</v>
      </c>
      <c r="H435" s="49"/>
      <c r="I435" s="75"/>
      <c r="J435" s="75"/>
      <c r="K435" s="67"/>
      <c r="L435" s="227">
        <f t="shared" si="91"/>
        <v>435</v>
      </c>
      <c r="O435" s="42"/>
      <c r="P435" s="43"/>
      <c r="Q435" s="43"/>
      <c r="R435" s="43"/>
      <c r="S435" s="44"/>
      <c r="T435" s="186"/>
    </row>
    <row r="436" spans="2:20" ht="15" x14ac:dyDescent="0.2">
      <c r="B436" s="32" t="str">
        <f t="shared" si="95"/>
        <v>חודשים</v>
      </c>
      <c r="C436" s="45" t="str">
        <f>'מק"ט'!$C$3&amp;VLOOKUP(G436,'מק"ט'!$D$2:$E$9,2,FALSE)&amp;VLOOKUP(E436,'מק"ט'!$F$2:$G$9,2,FALSE)&amp;D436</f>
        <v>76140702</v>
      </c>
      <c r="D436" s="46" t="s">
        <v>163</v>
      </c>
      <c r="E436" s="91" t="s">
        <v>137</v>
      </c>
      <c r="F436" s="92" t="s">
        <v>122</v>
      </c>
      <c r="G436" s="55" t="s">
        <v>24</v>
      </c>
      <c r="H436" s="49"/>
      <c r="I436" s="75"/>
      <c r="J436" s="75"/>
      <c r="K436" s="67"/>
      <c r="L436" s="227">
        <f t="shared" si="91"/>
        <v>435</v>
      </c>
      <c r="O436" s="42"/>
      <c r="P436" s="43"/>
      <c r="Q436" s="43"/>
      <c r="R436" s="43"/>
      <c r="S436" s="44"/>
      <c r="T436" s="186"/>
    </row>
    <row r="437" spans="2:20" ht="15" x14ac:dyDescent="0.2">
      <c r="B437" s="32" t="str">
        <f t="shared" si="95"/>
        <v>עונתי גלובלי</v>
      </c>
      <c r="C437" s="45" t="str">
        <f>'מק"ט'!$C$3&amp;VLOOKUP(G437,'מק"ט'!$D$2:$E$9,2,FALSE)&amp;VLOOKUP(E437,'מק"ט'!$F$2:$G$9,2,FALSE)&amp;D437</f>
        <v>76150702</v>
      </c>
      <c r="D437" s="46" t="s">
        <v>163</v>
      </c>
      <c r="E437" s="91" t="s">
        <v>137</v>
      </c>
      <c r="F437" s="92" t="s">
        <v>122</v>
      </c>
      <c r="G437" s="55" t="s">
        <v>23</v>
      </c>
      <c r="H437" s="49"/>
      <c r="I437" s="75"/>
      <c r="J437" s="75"/>
      <c r="K437" s="67"/>
      <c r="L437" s="227">
        <f t="shared" si="91"/>
        <v>435</v>
      </c>
      <c r="O437" s="42"/>
      <c r="P437" s="43"/>
      <c r="Q437" s="43"/>
      <c r="R437" s="43"/>
      <c r="S437" s="44"/>
      <c r="T437" s="186"/>
    </row>
    <row r="438" spans="2:20" ht="15" x14ac:dyDescent="0.2">
      <c r="B438" s="32" t="str">
        <f t="shared" si="56"/>
        <v>תכניות/פרקים</v>
      </c>
      <c r="C438" s="45" t="str">
        <f>'מק"ט'!$C$3&amp;VLOOKUP(G438,'מק"ט'!$D$2:$E$9,2,FALSE)&amp;VLOOKUP(E438,'מק"ט'!$F$2:$G$9,2,FALSE)&amp;D438</f>
        <v>76110714</v>
      </c>
      <c r="D438" s="52">
        <v>14</v>
      </c>
      <c r="E438" s="93" t="s">
        <v>137</v>
      </c>
      <c r="F438" s="94" t="s">
        <v>123</v>
      </c>
      <c r="G438" s="55" t="s">
        <v>25</v>
      </c>
      <c r="H438" s="68"/>
      <c r="I438" s="68"/>
      <c r="J438" s="68"/>
      <c r="K438" s="64" t="s">
        <v>177</v>
      </c>
      <c r="L438" s="227">
        <f t="shared" si="91"/>
        <v>440</v>
      </c>
      <c r="O438" s="42">
        <f>IFERROR(VLOOKUP(C438,תקציב!$D$22:$J$177,6,0),0)</f>
        <v>0</v>
      </c>
      <c r="P438" s="43">
        <f>IFERROR(VLOOKUP(C438,תקציב!$D$22:$J$177,5,0),0)</f>
        <v>0</v>
      </c>
      <c r="Q438" s="43">
        <f>IF(ISNUMBER(VLOOKUP(C438,תקציב!$D$22:$J$177,3,FALSE)),VLOOKUP(C438,תקציב!$D$22:$J$177,3,FALSE),1)</f>
        <v>1</v>
      </c>
      <c r="R438" s="43">
        <f t="shared" si="77"/>
        <v>0</v>
      </c>
      <c r="S438" s="44">
        <f t="shared" si="78"/>
        <v>0</v>
      </c>
      <c r="T438" s="186">
        <f>IFERROR(VLOOKUP(C438,תקציב!$D$22:$K$177,7,FALSE),0)-S438</f>
        <v>0</v>
      </c>
    </row>
    <row r="439" spans="2:20" ht="15" x14ac:dyDescent="0.2">
      <c r="B439" s="32" t="str">
        <f t="shared" si="56"/>
        <v>ימים</v>
      </c>
      <c r="C439" s="45" t="str">
        <f>'מק"ט'!$C$3&amp;VLOOKUP(G439,'מק"ט'!$D$2:$E$9,2,FALSE)&amp;VLOOKUP(E439,'מק"ט'!$F$2:$G$9,2,FALSE)&amp;D439</f>
        <v>76120714</v>
      </c>
      <c r="D439" s="52">
        <v>14</v>
      </c>
      <c r="E439" s="93" t="s">
        <v>137</v>
      </c>
      <c r="F439" s="94" t="s">
        <v>123</v>
      </c>
      <c r="G439" s="55" t="s">
        <v>21</v>
      </c>
      <c r="H439" s="68"/>
      <c r="I439" s="68"/>
      <c r="J439" s="68"/>
      <c r="K439" s="64"/>
      <c r="L439" s="227">
        <f t="shared" si="91"/>
        <v>440</v>
      </c>
      <c r="O439" s="42">
        <f>IFERROR(VLOOKUP(C439,תקציב!$D$22:$J$177,6,0),0)</f>
        <v>0</v>
      </c>
      <c r="P439" s="43">
        <f>IFERROR(VLOOKUP(C439,תקציב!$D$22:$J$177,5,0),0)</f>
        <v>0</v>
      </c>
      <c r="Q439" s="43">
        <f>IF(ISNUMBER(VLOOKUP(C439,תקציב!$D$22:$J$177,3,FALSE)),VLOOKUP(C439,תקציב!$D$22:$J$177,3,FALSE),1)</f>
        <v>1</v>
      </c>
      <c r="R439" s="43">
        <f>IFERROR((P439*Q439),0)</f>
        <v>0</v>
      </c>
      <c r="S439" s="44">
        <f>O439*R439</f>
        <v>0</v>
      </c>
      <c r="T439" s="186">
        <f>IFERROR(VLOOKUP(C439,תקציב!$D$22:$K$177,7,FALSE),0)-S439</f>
        <v>0</v>
      </c>
    </row>
    <row r="440" spans="2:20" ht="15" x14ac:dyDescent="0.2">
      <c r="B440" s="32" t="str">
        <f t="shared" ref="B440:B442" si="96">G440</f>
        <v>שבועות</v>
      </c>
      <c r="C440" s="45" t="str">
        <f>'מק"ט'!$C$3&amp;VLOOKUP(G440,'מק"ט'!$D$2:$E$9,2,FALSE)&amp;VLOOKUP(E440,'מק"ט'!$F$2:$G$9,2,FALSE)&amp;D440</f>
        <v>76130714</v>
      </c>
      <c r="D440" s="52">
        <v>14</v>
      </c>
      <c r="E440" s="93" t="s">
        <v>137</v>
      </c>
      <c r="F440" s="94" t="s">
        <v>123</v>
      </c>
      <c r="G440" s="55" t="s">
        <v>26</v>
      </c>
      <c r="H440" s="68"/>
      <c r="I440" s="68"/>
      <c r="J440" s="68"/>
      <c r="K440" s="64"/>
      <c r="L440" s="227">
        <f t="shared" si="91"/>
        <v>440</v>
      </c>
      <c r="O440" s="42"/>
      <c r="P440" s="43"/>
      <c r="Q440" s="43"/>
      <c r="R440" s="43"/>
      <c r="S440" s="44"/>
      <c r="T440" s="186"/>
    </row>
    <row r="441" spans="2:20" ht="15" x14ac:dyDescent="0.2">
      <c r="B441" s="32" t="str">
        <f t="shared" si="96"/>
        <v>חודשים</v>
      </c>
      <c r="C441" s="45" t="str">
        <f>'מק"ט'!$C$3&amp;VLOOKUP(G441,'מק"ט'!$D$2:$E$9,2,FALSE)&amp;VLOOKUP(E441,'מק"ט'!$F$2:$G$9,2,FALSE)&amp;D441</f>
        <v>76140714</v>
      </c>
      <c r="D441" s="52">
        <v>14</v>
      </c>
      <c r="E441" s="93" t="s">
        <v>137</v>
      </c>
      <c r="F441" s="94" t="s">
        <v>123</v>
      </c>
      <c r="G441" s="55" t="s">
        <v>24</v>
      </c>
      <c r="H441" s="68"/>
      <c r="I441" s="68"/>
      <c r="J441" s="68"/>
      <c r="K441" s="64"/>
      <c r="L441" s="227">
        <f t="shared" si="91"/>
        <v>440</v>
      </c>
      <c r="O441" s="42"/>
      <c r="P441" s="43"/>
      <c r="Q441" s="43"/>
      <c r="R441" s="43"/>
      <c r="S441" s="44"/>
      <c r="T441" s="186"/>
    </row>
    <row r="442" spans="2:20" ht="15" x14ac:dyDescent="0.2">
      <c r="B442" s="32" t="str">
        <f t="shared" si="96"/>
        <v>עונתי גלובלי</v>
      </c>
      <c r="C442" s="45" t="str">
        <f>'מק"ט'!$C$3&amp;VLOOKUP(G442,'מק"ט'!$D$2:$E$9,2,FALSE)&amp;VLOOKUP(E442,'מק"ט'!$F$2:$G$9,2,FALSE)&amp;D442</f>
        <v>76150714</v>
      </c>
      <c r="D442" s="52">
        <v>14</v>
      </c>
      <c r="E442" s="93" t="s">
        <v>137</v>
      </c>
      <c r="F442" s="94" t="s">
        <v>123</v>
      </c>
      <c r="G442" s="55" t="s">
        <v>23</v>
      </c>
      <c r="H442" s="68"/>
      <c r="I442" s="68"/>
      <c r="J442" s="68"/>
      <c r="K442" s="64"/>
      <c r="L442" s="227">
        <f t="shared" si="91"/>
        <v>440</v>
      </c>
      <c r="O442" s="42"/>
      <c r="P442" s="43"/>
      <c r="Q442" s="43"/>
      <c r="R442" s="43"/>
      <c r="S442" s="44"/>
      <c r="T442" s="186"/>
    </row>
    <row r="443" spans="2:20" ht="15" x14ac:dyDescent="0.2">
      <c r="B443" s="32" t="str">
        <f t="shared" si="56"/>
        <v>תכניות/פרקים</v>
      </c>
      <c r="C443" s="45" t="str">
        <f>'מק"ט'!$C$3&amp;VLOOKUP(G443,'מק"ט'!$D$2:$E$9,2,FALSE)&amp;VLOOKUP(E443,'מק"ט'!$F$2:$G$9,2,FALSE)&amp;D443</f>
        <v>76110703</v>
      </c>
      <c r="D443" s="46" t="s">
        <v>164</v>
      </c>
      <c r="E443" s="91" t="s">
        <v>137</v>
      </c>
      <c r="F443" s="92" t="s">
        <v>124</v>
      </c>
      <c r="G443" s="55" t="s">
        <v>25</v>
      </c>
      <c r="H443" s="50"/>
      <c r="I443" s="50"/>
      <c r="J443" s="50"/>
      <c r="K443" s="67" t="s">
        <v>21</v>
      </c>
      <c r="L443" s="227">
        <f t="shared" si="91"/>
        <v>445</v>
      </c>
      <c r="O443" s="42">
        <f>IFERROR(VLOOKUP(C443,תקציב!$D$22:$J$177,6,0),0)</f>
        <v>0</v>
      </c>
      <c r="P443" s="43">
        <f>IFERROR(VLOOKUP(C443,תקציב!$D$22:$J$177,5,0),0)</f>
        <v>0</v>
      </c>
      <c r="Q443" s="43">
        <f>IF(ISNUMBER(VLOOKUP(C443,תקציב!$D$22:$J$177,3,FALSE)),VLOOKUP(C443,תקציב!$D$22:$J$177,3,FALSE),1)</f>
        <v>1</v>
      </c>
      <c r="R443" s="43">
        <f t="shared" si="77"/>
        <v>0</v>
      </c>
      <c r="S443" s="44">
        <f t="shared" si="78"/>
        <v>0</v>
      </c>
      <c r="T443" s="186">
        <f>IFERROR(VLOOKUP(C443,תקציב!$D$22:$K$177,7,FALSE),0)-S443</f>
        <v>0</v>
      </c>
    </row>
    <row r="444" spans="2:20" ht="15" x14ac:dyDescent="0.2">
      <c r="B444" s="32" t="str">
        <f t="shared" si="56"/>
        <v>ימים</v>
      </c>
      <c r="C444" s="45" t="str">
        <f>'מק"ט'!$C$3&amp;VLOOKUP(G444,'מק"ט'!$D$2:$E$9,2,FALSE)&amp;VLOOKUP(E444,'מק"ט'!$F$2:$G$9,2,FALSE)&amp;D444</f>
        <v>76120703</v>
      </c>
      <c r="D444" s="46" t="s">
        <v>164</v>
      </c>
      <c r="E444" s="91" t="s">
        <v>137</v>
      </c>
      <c r="F444" s="92" t="s">
        <v>124</v>
      </c>
      <c r="G444" s="55" t="s">
        <v>21</v>
      </c>
      <c r="H444" s="50"/>
      <c r="I444" s="50"/>
      <c r="J444" s="50"/>
      <c r="K444" s="67"/>
      <c r="L444" s="227">
        <f t="shared" si="91"/>
        <v>445</v>
      </c>
      <c r="O444" s="42"/>
      <c r="P444" s="43"/>
      <c r="Q444" s="43"/>
      <c r="R444" s="43"/>
      <c r="S444" s="44"/>
      <c r="T444" s="186"/>
    </row>
    <row r="445" spans="2:20" ht="15" x14ac:dyDescent="0.2">
      <c r="B445" s="32" t="str">
        <f t="shared" ref="B445:B447" si="97">G445</f>
        <v>שבועות</v>
      </c>
      <c r="C445" s="45" t="str">
        <f>'מק"ט'!$C$3&amp;VLOOKUP(G445,'מק"ט'!$D$2:$E$9,2,FALSE)&amp;VLOOKUP(E445,'מק"ט'!$F$2:$G$9,2,FALSE)&amp;D445</f>
        <v>76130703</v>
      </c>
      <c r="D445" s="46" t="s">
        <v>164</v>
      </c>
      <c r="E445" s="91" t="s">
        <v>137</v>
      </c>
      <c r="F445" s="92" t="s">
        <v>124</v>
      </c>
      <c r="G445" s="55" t="s">
        <v>26</v>
      </c>
      <c r="H445" s="50"/>
      <c r="I445" s="50"/>
      <c r="J445" s="50"/>
      <c r="K445" s="67"/>
      <c r="L445" s="227">
        <f t="shared" si="91"/>
        <v>445</v>
      </c>
      <c r="O445" s="42"/>
      <c r="P445" s="43"/>
      <c r="Q445" s="43"/>
      <c r="R445" s="43"/>
      <c r="S445" s="44"/>
      <c r="T445" s="186"/>
    </row>
    <row r="446" spans="2:20" ht="15" x14ac:dyDescent="0.2">
      <c r="B446" s="32" t="str">
        <f t="shared" si="97"/>
        <v>חודשים</v>
      </c>
      <c r="C446" s="45" t="str">
        <f>'מק"ט'!$C$3&amp;VLOOKUP(G446,'מק"ט'!$D$2:$E$9,2,FALSE)&amp;VLOOKUP(E446,'מק"ט'!$F$2:$G$9,2,FALSE)&amp;D446</f>
        <v>76140703</v>
      </c>
      <c r="D446" s="46" t="s">
        <v>164</v>
      </c>
      <c r="E446" s="91" t="s">
        <v>137</v>
      </c>
      <c r="F446" s="92" t="s">
        <v>124</v>
      </c>
      <c r="G446" s="55" t="s">
        <v>24</v>
      </c>
      <c r="H446" s="50"/>
      <c r="I446" s="50"/>
      <c r="J446" s="50"/>
      <c r="K446" s="67"/>
      <c r="L446" s="227">
        <f t="shared" si="91"/>
        <v>445</v>
      </c>
      <c r="O446" s="42"/>
      <c r="P446" s="43"/>
      <c r="Q446" s="43"/>
      <c r="R446" s="43"/>
      <c r="S446" s="44"/>
      <c r="T446" s="186"/>
    </row>
    <row r="447" spans="2:20" ht="15" x14ac:dyDescent="0.2">
      <c r="B447" s="32" t="str">
        <f t="shared" si="97"/>
        <v>עונתי גלובלי</v>
      </c>
      <c r="C447" s="45" t="str">
        <f>'מק"ט'!$C$3&amp;VLOOKUP(G447,'מק"ט'!$D$2:$E$9,2,FALSE)&amp;VLOOKUP(E447,'מק"ט'!$F$2:$G$9,2,FALSE)&amp;D447</f>
        <v>76150703</v>
      </c>
      <c r="D447" s="46" t="s">
        <v>164</v>
      </c>
      <c r="E447" s="91" t="s">
        <v>137</v>
      </c>
      <c r="F447" s="92" t="s">
        <v>124</v>
      </c>
      <c r="G447" s="55" t="s">
        <v>23</v>
      </c>
      <c r="H447" s="50"/>
      <c r="I447" s="50"/>
      <c r="J447" s="50"/>
      <c r="K447" s="67"/>
      <c r="L447" s="227">
        <f t="shared" si="91"/>
        <v>445</v>
      </c>
      <c r="O447" s="42"/>
      <c r="P447" s="43"/>
      <c r="Q447" s="43"/>
      <c r="R447" s="43"/>
      <c r="S447" s="44"/>
      <c r="T447" s="186"/>
    </row>
    <row r="448" spans="2:20" ht="15" x14ac:dyDescent="0.2">
      <c r="B448" s="32" t="str">
        <f t="shared" si="56"/>
        <v>תכניות/פרקים</v>
      </c>
      <c r="C448" s="45" t="str">
        <f>'מק"ט'!$C$3&amp;VLOOKUP(G448,'מק"ט'!$D$2:$E$9,2,FALSE)&amp;VLOOKUP(E448,'מק"ט'!$F$2:$G$9,2,FALSE)&amp;D448</f>
        <v>76110704</v>
      </c>
      <c r="D448" s="76" t="s">
        <v>165</v>
      </c>
      <c r="E448" s="93" t="s">
        <v>137</v>
      </c>
      <c r="F448" s="94" t="s">
        <v>125</v>
      </c>
      <c r="G448" s="55" t="s">
        <v>25</v>
      </c>
      <c r="H448" s="55"/>
      <c r="I448" s="68"/>
      <c r="J448" s="68"/>
      <c r="K448" s="64" t="s">
        <v>21</v>
      </c>
      <c r="L448" s="227">
        <f t="shared" si="91"/>
        <v>450</v>
      </c>
      <c r="O448" s="42">
        <f>IFERROR(VLOOKUP(C448,תקציב!$D$22:$J$177,6,0),0)</f>
        <v>0</v>
      </c>
      <c r="P448" s="43">
        <f>IFERROR(VLOOKUP(C448,תקציב!$D$22:$J$177,5,0),0)</f>
        <v>0</v>
      </c>
      <c r="Q448" s="43">
        <f>IF(ISNUMBER(VLOOKUP(C448,תקציב!$D$22:$J$177,3,FALSE)),VLOOKUP(C448,תקציב!$D$22:$J$177,3,FALSE),1)</f>
        <v>1</v>
      </c>
      <c r="R448" s="43">
        <f t="shared" si="77"/>
        <v>0</v>
      </c>
      <c r="S448" s="44">
        <f t="shared" si="78"/>
        <v>0</v>
      </c>
      <c r="T448" s="186">
        <f>IFERROR(VLOOKUP(C448,תקציב!$D$22:$K$177,7,FALSE),0)-S448</f>
        <v>0</v>
      </c>
    </row>
    <row r="449" spans="2:20" ht="15" x14ac:dyDescent="0.2">
      <c r="B449" s="32" t="str">
        <f t="shared" si="56"/>
        <v>ימים</v>
      </c>
      <c r="C449" s="45" t="str">
        <f>'מק"ט'!$C$3&amp;VLOOKUP(G449,'מק"ט'!$D$2:$E$9,2,FALSE)&amp;VLOOKUP(E449,'מק"ט'!$F$2:$G$9,2,FALSE)&amp;D449</f>
        <v>76120704</v>
      </c>
      <c r="D449" s="76" t="s">
        <v>165</v>
      </c>
      <c r="E449" s="93" t="s">
        <v>137</v>
      </c>
      <c r="F449" s="94" t="s">
        <v>125</v>
      </c>
      <c r="G449" s="55" t="s">
        <v>21</v>
      </c>
      <c r="H449" s="55"/>
      <c r="I449" s="68"/>
      <c r="J449" s="68"/>
      <c r="K449" s="64"/>
      <c r="L449" s="227">
        <f t="shared" si="91"/>
        <v>450</v>
      </c>
      <c r="O449" s="42"/>
      <c r="P449" s="43"/>
      <c r="Q449" s="43"/>
      <c r="R449" s="43"/>
      <c r="S449" s="44"/>
      <c r="T449" s="186"/>
    </row>
    <row r="450" spans="2:20" ht="15" x14ac:dyDescent="0.2">
      <c r="B450" s="32" t="str">
        <f t="shared" ref="B450:B452" si="98">G450</f>
        <v>שבועות</v>
      </c>
      <c r="C450" s="45" t="str">
        <f>'מק"ט'!$C$3&amp;VLOOKUP(G450,'מק"ט'!$D$2:$E$9,2,FALSE)&amp;VLOOKUP(E450,'מק"ט'!$F$2:$G$9,2,FALSE)&amp;D450</f>
        <v>76130704</v>
      </c>
      <c r="D450" s="76" t="s">
        <v>165</v>
      </c>
      <c r="E450" s="93" t="s">
        <v>137</v>
      </c>
      <c r="F450" s="94" t="s">
        <v>125</v>
      </c>
      <c r="G450" s="55" t="s">
        <v>26</v>
      </c>
      <c r="H450" s="55"/>
      <c r="I450" s="68"/>
      <c r="J450" s="68"/>
      <c r="K450" s="64"/>
      <c r="L450" s="227">
        <f t="shared" si="91"/>
        <v>450</v>
      </c>
      <c r="O450" s="42"/>
      <c r="P450" s="43"/>
      <c r="Q450" s="43"/>
      <c r="R450" s="43"/>
      <c r="S450" s="44"/>
      <c r="T450" s="186"/>
    </row>
    <row r="451" spans="2:20" ht="15" x14ac:dyDescent="0.2">
      <c r="B451" s="32" t="str">
        <f t="shared" si="98"/>
        <v>חודשים</v>
      </c>
      <c r="C451" s="45" t="str">
        <f>'מק"ט'!$C$3&amp;VLOOKUP(G451,'מק"ט'!$D$2:$E$9,2,FALSE)&amp;VLOOKUP(E451,'מק"ט'!$F$2:$G$9,2,FALSE)&amp;D451</f>
        <v>76140704</v>
      </c>
      <c r="D451" s="76" t="s">
        <v>165</v>
      </c>
      <c r="E451" s="93" t="s">
        <v>137</v>
      </c>
      <c r="F451" s="94" t="s">
        <v>125</v>
      </c>
      <c r="G451" s="55" t="s">
        <v>24</v>
      </c>
      <c r="H451" s="55"/>
      <c r="I451" s="68"/>
      <c r="J451" s="68"/>
      <c r="K451" s="64"/>
      <c r="L451" s="227">
        <f t="shared" si="91"/>
        <v>450</v>
      </c>
      <c r="O451" s="42"/>
      <c r="P451" s="43"/>
      <c r="Q451" s="43"/>
      <c r="R451" s="43"/>
      <c r="S451" s="44"/>
      <c r="T451" s="186"/>
    </row>
    <row r="452" spans="2:20" ht="15" x14ac:dyDescent="0.2">
      <c r="B452" s="32" t="str">
        <f t="shared" si="98"/>
        <v>עונתי גלובלי</v>
      </c>
      <c r="C452" s="45" t="str">
        <f>'מק"ט'!$C$3&amp;VLOOKUP(G452,'מק"ט'!$D$2:$E$9,2,FALSE)&amp;VLOOKUP(E452,'מק"ט'!$F$2:$G$9,2,FALSE)&amp;D452</f>
        <v>76150704</v>
      </c>
      <c r="D452" s="76" t="s">
        <v>165</v>
      </c>
      <c r="E452" s="93" t="s">
        <v>137</v>
      </c>
      <c r="F452" s="94" t="s">
        <v>125</v>
      </c>
      <c r="G452" s="55" t="s">
        <v>23</v>
      </c>
      <c r="H452" s="55"/>
      <c r="I452" s="68"/>
      <c r="J452" s="68"/>
      <c r="K452" s="64"/>
      <c r="L452" s="227">
        <f t="shared" si="91"/>
        <v>450</v>
      </c>
      <c r="O452" s="42"/>
      <c r="P452" s="43"/>
      <c r="Q452" s="43"/>
      <c r="R452" s="43"/>
      <c r="S452" s="44"/>
      <c r="T452" s="186"/>
    </row>
    <row r="453" spans="2:20" ht="15" x14ac:dyDescent="0.2">
      <c r="B453" s="32" t="str">
        <f t="shared" si="56"/>
        <v>תכניות/פרקים</v>
      </c>
      <c r="C453" s="45" t="str">
        <f>'מק"ט'!$C$3&amp;VLOOKUP(G453,'מק"ט'!$D$2:$E$9,2,FALSE)&amp;VLOOKUP(E453,'מק"ט'!$F$2:$G$9,2,FALSE)&amp;D453</f>
        <v>76110705</v>
      </c>
      <c r="D453" s="46" t="s">
        <v>169</v>
      </c>
      <c r="E453" s="91" t="s">
        <v>137</v>
      </c>
      <c r="F453" s="92" t="s">
        <v>126</v>
      </c>
      <c r="G453" s="55" t="s">
        <v>25</v>
      </c>
      <c r="H453" s="49"/>
      <c r="I453" s="75"/>
      <c r="J453" s="75"/>
      <c r="K453" s="51" t="s">
        <v>177</v>
      </c>
      <c r="L453" s="227">
        <f t="shared" si="91"/>
        <v>455</v>
      </c>
      <c r="O453" s="42">
        <f>IFERROR(VLOOKUP(C453,תקציב!$D$22:$J$177,6,0),0)</f>
        <v>0</v>
      </c>
      <c r="P453" s="43">
        <f>IFERROR(VLOOKUP(C453,תקציב!$D$22:$J$177,5,0),0)</f>
        <v>0</v>
      </c>
      <c r="Q453" s="43">
        <f>IF(ISNUMBER(VLOOKUP(C453,תקציב!$D$22:$J$177,3,FALSE)),VLOOKUP(C453,תקציב!$D$22:$J$177,3,FALSE),1)</f>
        <v>1</v>
      </c>
      <c r="R453" s="43">
        <f t="shared" si="77"/>
        <v>0</v>
      </c>
      <c r="S453" s="44">
        <f t="shared" si="78"/>
        <v>0</v>
      </c>
      <c r="T453" s="186">
        <f>IFERROR(VLOOKUP(C453,תקציב!$D$22:$K$177,7,FALSE),0)-S453</f>
        <v>0</v>
      </c>
    </row>
    <row r="454" spans="2:20" ht="15" x14ac:dyDescent="0.2">
      <c r="B454" s="32" t="str">
        <f t="shared" si="56"/>
        <v>ימים</v>
      </c>
      <c r="C454" s="45" t="str">
        <f>'מק"ט'!$C$3&amp;VLOOKUP(G454,'מק"ט'!$D$2:$E$9,2,FALSE)&amp;VLOOKUP(E454,'מק"ט'!$F$2:$G$9,2,FALSE)&amp;D454</f>
        <v>76120705</v>
      </c>
      <c r="D454" s="46" t="s">
        <v>169</v>
      </c>
      <c r="E454" s="91" t="s">
        <v>137</v>
      </c>
      <c r="F454" s="92" t="s">
        <v>126</v>
      </c>
      <c r="G454" s="55" t="s">
        <v>21</v>
      </c>
      <c r="H454" s="49"/>
      <c r="I454" s="75"/>
      <c r="J454" s="75"/>
      <c r="K454" s="51"/>
      <c r="L454" s="227">
        <f t="shared" si="91"/>
        <v>455</v>
      </c>
      <c r="O454" s="42">
        <f>IFERROR(VLOOKUP(C454,תקציב!$D$22:$J$177,6,0),0)</f>
        <v>0</v>
      </c>
      <c r="P454" s="43">
        <f>IFERROR(VLOOKUP(C454,תקציב!$D$22:$J$177,5,0),0)</f>
        <v>0</v>
      </c>
      <c r="Q454" s="43">
        <f>IF(ISNUMBER(VLOOKUP(C454,תקציב!$D$22:$J$177,3,FALSE)),VLOOKUP(C454,תקציב!$D$22:$J$177,3,FALSE),1)</f>
        <v>1</v>
      </c>
      <c r="R454" s="43">
        <f t="shared" si="77"/>
        <v>0</v>
      </c>
      <c r="S454" s="44">
        <f t="shared" si="78"/>
        <v>0</v>
      </c>
      <c r="T454" s="186">
        <f>IFERROR(VLOOKUP(C454,תקציב!$D$22:$K$177,7,FALSE),0)-S454</f>
        <v>0</v>
      </c>
    </row>
    <row r="455" spans="2:20" ht="15" x14ac:dyDescent="0.2">
      <c r="B455" s="32" t="str">
        <f t="shared" ref="B455:B457" si="99">G455</f>
        <v>שבועות</v>
      </c>
      <c r="C455" s="45" t="str">
        <f>'מק"ט'!$C$3&amp;VLOOKUP(G455,'מק"ט'!$D$2:$E$9,2,FALSE)&amp;VLOOKUP(E455,'מק"ט'!$F$2:$G$9,2,FALSE)&amp;D455</f>
        <v>76130705</v>
      </c>
      <c r="D455" s="46" t="s">
        <v>169</v>
      </c>
      <c r="E455" s="91" t="s">
        <v>137</v>
      </c>
      <c r="F455" s="92" t="s">
        <v>126</v>
      </c>
      <c r="G455" s="55" t="s">
        <v>26</v>
      </c>
      <c r="H455" s="49"/>
      <c r="I455" s="75"/>
      <c r="J455" s="75"/>
      <c r="K455" s="51"/>
      <c r="L455" s="227">
        <f t="shared" si="91"/>
        <v>455</v>
      </c>
      <c r="O455" s="42"/>
      <c r="P455" s="43"/>
      <c r="Q455" s="43"/>
      <c r="R455" s="43"/>
      <c r="S455" s="44"/>
      <c r="T455" s="186"/>
    </row>
    <row r="456" spans="2:20" ht="15" x14ac:dyDescent="0.2">
      <c r="B456" s="32" t="str">
        <f t="shared" si="99"/>
        <v>חודשים</v>
      </c>
      <c r="C456" s="45" t="str">
        <f>'מק"ט'!$C$3&amp;VLOOKUP(G456,'מק"ט'!$D$2:$E$9,2,FALSE)&amp;VLOOKUP(E456,'מק"ט'!$F$2:$G$9,2,FALSE)&amp;D456</f>
        <v>76140705</v>
      </c>
      <c r="D456" s="46" t="s">
        <v>169</v>
      </c>
      <c r="E456" s="91" t="s">
        <v>137</v>
      </c>
      <c r="F456" s="92" t="s">
        <v>126</v>
      </c>
      <c r="G456" s="55" t="s">
        <v>24</v>
      </c>
      <c r="H456" s="49"/>
      <c r="I456" s="75"/>
      <c r="J456" s="75"/>
      <c r="K456" s="51"/>
      <c r="L456" s="227">
        <f t="shared" si="91"/>
        <v>455</v>
      </c>
      <c r="O456" s="42"/>
      <c r="P456" s="43"/>
      <c r="Q456" s="43"/>
      <c r="R456" s="43"/>
      <c r="S456" s="44"/>
      <c r="T456" s="186"/>
    </row>
    <row r="457" spans="2:20" ht="15" x14ac:dyDescent="0.2">
      <c r="B457" s="32" t="str">
        <f t="shared" si="99"/>
        <v>עונתי גלובלי</v>
      </c>
      <c r="C457" s="45" t="str">
        <f>'מק"ט'!$C$3&amp;VLOOKUP(G457,'מק"ט'!$D$2:$E$9,2,FALSE)&amp;VLOOKUP(E457,'מק"ט'!$F$2:$G$9,2,FALSE)&amp;D457</f>
        <v>76150705</v>
      </c>
      <c r="D457" s="46" t="s">
        <v>169</v>
      </c>
      <c r="E457" s="91" t="s">
        <v>137</v>
      </c>
      <c r="F457" s="92" t="s">
        <v>126</v>
      </c>
      <c r="G457" s="55" t="s">
        <v>23</v>
      </c>
      <c r="H457" s="49"/>
      <c r="I457" s="75"/>
      <c r="J457" s="75"/>
      <c r="K457" s="51"/>
      <c r="L457" s="227">
        <f t="shared" si="91"/>
        <v>455</v>
      </c>
      <c r="O457" s="42"/>
      <c r="P457" s="43"/>
      <c r="Q457" s="43"/>
      <c r="R457" s="43"/>
      <c r="S457" s="44"/>
      <c r="T457" s="186"/>
    </row>
    <row r="458" spans="2:20" ht="15" x14ac:dyDescent="0.2">
      <c r="B458" s="32" t="str">
        <f t="shared" si="56"/>
        <v>תכניות/פרקים</v>
      </c>
      <c r="C458" s="45" t="str">
        <f>'מק"ט'!$C$3&amp;VLOOKUP(G458,'מק"ט'!$D$2:$E$9,2,FALSE)&amp;VLOOKUP(E458,'מק"ט'!$F$2:$G$9,2,FALSE)&amp;D458</f>
        <v>76110706</v>
      </c>
      <c r="D458" s="76" t="s">
        <v>170</v>
      </c>
      <c r="E458" s="93" t="s">
        <v>137</v>
      </c>
      <c r="F458" s="94" t="s">
        <v>127</v>
      </c>
      <c r="G458" s="55" t="s">
        <v>25</v>
      </c>
      <c r="H458" s="55"/>
      <c r="I458" s="68"/>
      <c r="J458" s="68"/>
      <c r="K458" s="57" t="s">
        <v>21</v>
      </c>
      <c r="L458" s="227">
        <f t="shared" si="91"/>
        <v>460</v>
      </c>
      <c r="O458" s="42">
        <f>IFERROR(VLOOKUP(C458,תקציב!$D$22:$J$177,6,0),0)</f>
        <v>0</v>
      </c>
      <c r="P458" s="43">
        <f>IFERROR(VLOOKUP(C458,תקציב!$D$22:$J$177,5,0),0)</f>
        <v>0</v>
      </c>
      <c r="Q458" s="43">
        <f>IF(ISNUMBER(VLOOKUP(C458,תקציב!$D$22:$J$177,3,FALSE)),VLOOKUP(C458,תקציב!$D$22:$J$177,3,FALSE),1)</f>
        <v>1</v>
      </c>
      <c r="R458" s="43">
        <f t="shared" si="77"/>
        <v>0</v>
      </c>
      <c r="S458" s="44">
        <f t="shared" si="78"/>
        <v>0</v>
      </c>
      <c r="T458" s="186">
        <f>IFERROR(VLOOKUP(C458,תקציב!$D$22:$K$177,7,FALSE),0)-S458</f>
        <v>0</v>
      </c>
    </row>
    <row r="459" spans="2:20" ht="15" x14ac:dyDescent="0.2">
      <c r="B459" s="32" t="str">
        <f t="shared" si="56"/>
        <v>ימים</v>
      </c>
      <c r="C459" s="45" t="str">
        <f>'מק"ט'!$C$3&amp;VLOOKUP(G459,'מק"ט'!$D$2:$E$9,2,FALSE)&amp;VLOOKUP(E459,'מק"ט'!$F$2:$G$9,2,FALSE)&amp;D459</f>
        <v>76120706</v>
      </c>
      <c r="D459" s="76" t="s">
        <v>170</v>
      </c>
      <c r="E459" s="93" t="s">
        <v>137</v>
      </c>
      <c r="F459" s="94" t="s">
        <v>127</v>
      </c>
      <c r="G459" s="55" t="s">
        <v>21</v>
      </c>
      <c r="H459" s="55"/>
      <c r="I459" s="68"/>
      <c r="J459" s="68"/>
      <c r="K459" s="57"/>
      <c r="L459" s="227">
        <f t="shared" si="91"/>
        <v>460</v>
      </c>
      <c r="O459" s="42"/>
      <c r="P459" s="43"/>
      <c r="Q459" s="43"/>
      <c r="R459" s="43"/>
      <c r="S459" s="44"/>
      <c r="T459" s="186"/>
    </row>
    <row r="460" spans="2:20" ht="15" x14ac:dyDescent="0.2">
      <c r="B460" s="32" t="str">
        <f t="shared" ref="B460:B462" si="100">G460</f>
        <v>שבועות</v>
      </c>
      <c r="C460" s="45" t="str">
        <f>'מק"ט'!$C$3&amp;VLOOKUP(G460,'מק"ט'!$D$2:$E$9,2,FALSE)&amp;VLOOKUP(E460,'מק"ט'!$F$2:$G$9,2,FALSE)&amp;D460</f>
        <v>76130706</v>
      </c>
      <c r="D460" s="76" t="s">
        <v>170</v>
      </c>
      <c r="E460" s="93" t="s">
        <v>137</v>
      </c>
      <c r="F460" s="94" t="s">
        <v>127</v>
      </c>
      <c r="G460" s="55" t="s">
        <v>26</v>
      </c>
      <c r="H460" s="55"/>
      <c r="I460" s="68"/>
      <c r="J460" s="68"/>
      <c r="K460" s="57"/>
      <c r="L460" s="227">
        <f t="shared" si="91"/>
        <v>460</v>
      </c>
      <c r="O460" s="42"/>
      <c r="P460" s="43"/>
      <c r="Q460" s="43"/>
      <c r="R460" s="43"/>
      <c r="S460" s="44"/>
      <c r="T460" s="186"/>
    </row>
    <row r="461" spans="2:20" ht="15" x14ac:dyDescent="0.2">
      <c r="B461" s="32" t="str">
        <f t="shared" si="100"/>
        <v>חודשים</v>
      </c>
      <c r="C461" s="45" t="str">
        <f>'מק"ט'!$C$3&amp;VLOOKUP(G461,'מק"ט'!$D$2:$E$9,2,FALSE)&amp;VLOOKUP(E461,'מק"ט'!$F$2:$G$9,2,FALSE)&amp;D461</f>
        <v>76140706</v>
      </c>
      <c r="D461" s="76" t="s">
        <v>170</v>
      </c>
      <c r="E461" s="93" t="s">
        <v>137</v>
      </c>
      <c r="F461" s="94" t="s">
        <v>127</v>
      </c>
      <c r="G461" s="55" t="s">
        <v>24</v>
      </c>
      <c r="H461" s="55"/>
      <c r="I461" s="68"/>
      <c r="J461" s="68"/>
      <c r="K461" s="57"/>
      <c r="L461" s="227">
        <f t="shared" si="91"/>
        <v>460</v>
      </c>
      <c r="O461" s="42"/>
      <c r="P461" s="43"/>
      <c r="Q461" s="43"/>
      <c r="R461" s="43"/>
      <c r="S461" s="44"/>
      <c r="T461" s="186"/>
    </row>
    <row r="462" spans="2:20" ht="15" x14ac:dyDescent="0.2">
      <c r="B462" s="32" t="str">
        <f t="shared" si="100"/>
        <v>עונתי גלובלי</v>
      </c>
      <c r="C462" s="45" t="str">
        <f>'מק"ט'!$C$3&amp;VLOOKUP(G462,'מק"ט'!$D$2:$E$9,2,FALSE)&amp;VLOOKUP(E462,'מק"ט'!$F$2:$G$9,2,FALSE)&amp;D462</f>
        <v>76150706</v>
      </c>
      <c r="D462" s="76" t="s">
        <v>170</v>
      </c>
      <c r="E462" s="93" t="s">
        <v>137</v>
      </c>
      <c r="F462" s="94" t="s">
        <v>127</v>
      </c>
      <c r="G462" s="55" t="s">
        <v>23</v>
      </c>
      <c r="H462" s="55"/>
      <c r="I462" s="68"/>
      <c r="J462" s="68"/>
      <c r="K462" s="57"/>
      <c r="L462" s="227">
        <f t="shared" si="91"/>
        <v>460</v>
      </c>
      <c r="O462" s="42"/>
      <c r="P462" s="43"/>
      <c r="Q462" s="43"/>
      <c r="R462" s="43"/>
      <c r="S462" s="44"/>
      <c r="T462" s="186"/>
    </row>
    <row r="463" spans="2:20" ht="15" x14ac:dyDescent="0.2">
      <c r="B463" s="32" t="str">
        <f t="shared" si="56"/>
        <v>תכניות/פרקים</v>
      </c>
      <c r="C463" s="45" t="str">
        <f>'מק"ט'!$C$3&amp;VLOOKUP(G463,'מק"ט'!$D$2:$E$9,2,FALSE)&amp;VLOOKUP(E463,'מק"ט'!$F$2:$G$9,2,FALSE)&amp;D463</f>
        <v>76110707</v>
      </c>
      <c r="D463" s="46" t="s">
        <v>172</v>
      </c>
      <c r="E463" s="91" t="s">
        <v>137</v>
      </c>
      <c r="F463" s="104" t="s">
        <v>128</v>
      </c>
      <c r="G463" s="55" t="s">
        <v>25</v>
      </c>
      <c r="H463" s="50"/>
      <c r="I463" s="50"/>
      <c r="J463" s="50"/>
      <c r="K463" s="67" t="s">
        <v>178</v>
      </c>
      <c r="L463" s="227">
        <f t="shared" si="91"/>
        <v>465</v>
      </c>
      <c r="O463" s="42">
        <f>IFERROR(VLOOKUP(C463,תקציב!$D$22:$J$177,6,0),0)</f>
        <v>0</v>
      </c>
      <c r="P463" s="43">
        <f>IFERROR(VLOOKUP(C463,תקציב!$D$22:$J$177,5,0),0)</f>
        <v>0</v>
      </c>
      <c r="Q463" s="43">
        <f>IF(ISNUMBER(VLOOKUP(C463,תקציב!$D$22:$J$177,3,FALSE)),VLOOKUP(C463,תקציב!$D$22:$J$177,3,FALSE),1)</f>
        <v>1</v>
      </c>
      <c r="R463" s="43">
        <f t="shared" si="77"/>
        <v>0</v>
      </c>
      <c r="S463" s="44">
        <f t="shared" si="78"/>
        <v>0</v>
      </c>
      <c r="T463" s="186">
        <f>IFERROR(VLOOKUP(C463,תקציב!$D$22:$K$177,7,FALSE),0)-S463</f>
        <v>0</v>
      </c>
    </row>
    <row r="464" spans="2:20" ht="15" x14ac:dyDescent="0.2">
      <c r="B464" s="32" t="str">
        <f t="shared" ref="B464:B465" si="101">G464</f>
        <v>ימים</v>
      </c>
      <c r="C464" s="45" t="str">
        <f>'מק"ט'!$C$3&amp;VLOOKUP(G464,'מק"ט'!$D$2:$E$9,2,FALSE)&amp;VLOOKUP(E464,'מק"ט'!$F$2:$G$9,2,FALSE)&amp;D464</f>
        <v>76120707</v>
      </c>
      <c r="D464" s="46" t="s">
        <v>172</v>
      </c>
      <c r="E464" s="91" t="s">
        <v>137</v>
      </c>
      <c r="F464" s="104" t="s">
        <v>128</v>
      </c>
      <c r="G464" s="55" t="s">
        <v>21</v>
      </c>
      <c r="H464" s="50"/>
      <c r="I464" s="50"/>
      <c r="J464" s="50"/>
      <c r="K464" s="67"/>
      <c r="L464" s="227">
        <f t="shared" si="91"/>
        <v>465</v>
      </c>
      <c r="O464" s="42"/>
      <c r="P464" s="43"/>
      <c r="Q464" s="43"/>
      <c r="R464" s="43"/>
      <c r="S464" s="44"/>
      <c r="T464" s="186"/>
    </row>
    <row r="465" spans="2:20" ht="15" x14ac:dyDescent="0.2">
      <c r="B465" s="32" t="str">
        <f t="shared" si="101"/>
        <v>שבועות</v>
      </c>
      <c r="C465" s="45" t="str">
        <f>'מק"ט'!$C$3&amp;VLOOKUP(G465,'מק"ט'!$D$2:$E$9,2,FALSE)&amp;VLOOKUP(E465,'מק"ט'!$F$2:$G$9,2,FALSE)&amp;D465</f>
        <v>76130707</v>
      </c>
      <c r="D465" s="46" t="s">
        <v>172</v>
      </c>
      <c r="E465" s="91" t="s">
        <v>137</v>
      </c>
      <c r="F465" s="104" t="s">
        <v>128</v>
      </c>
      <c r="G465" s="55" t="s">
        <v>26</v>
      </c>
      <c r="H465" s="50"/>
      <c r="I465" s="50"/>
      <c r="J465" s="50"/>
      <c r="K465" s="67"/>
      <c r="L465" s="227">
        <f t="shared" si="91"/>
        <v>465</v>
      </c>
      <c r="O465" s="42"/>
      <c r="P465" s="43"/>
      <c r="Q465" s="43"/>
      <c r="R465" s="43"/>
      <c r="S465" s="44"/>
      <c r="T465" s="186"/>
    </row>
    <row r="466" spans="2:20" ht="15" x14ac:dyDescent="0.2">
      <c r="B466" s="32" t="str">
        <f t="shared" ref="B466:B467" si="102">G466</f>
        <v>חודשים</v>
      </c>
      <c r="C466" s="45" t="str">
        <f>'מק"ט'!$C$3&amp;VLOOKUP(G466,'מק"ט'!$D$2:$E$9,2,FALSE)&amp;VLOOKUP(E466,'מק"ט'!$F$2:$G$9,2,FALSE)&amp;D466</f>
        <v>76140707</v>
      </c>
      <c r="D466" s="46" t="s">
        <v>172</v>
      </c>
      <c r="E466" s="91" t="s">
        <v>137</v>
      </c>
      <c r="F466" s="104" t="s">
        <v>128</v>
      </c>
      <c r="G466" s="55" t="s">
        <v>24</v>
      </c>
      <c r="H466" s="50"/>
      <c r="I466" s="50"/>
      <c r="J466" s="50"/>
      <c r="K466" s="67"/>
      <c r="L466" s="227">
        <f t="shared" si="91"/>
        <v>465</v>
      </c>
      <c r="O466" s="42"/>
      <c r="P466" s="43"/>
      <c r="Q466" s="43"/>
      <c r="R466" s="43"/>
      <c r="S466" s="44"/>
      <c r="T466" s="186"/>
    </row>
    <row r="467" spans="2:20" ht="15" x14ac:dyDescent="0.2">
      <c r="B467" s="32" t="str">
        <f t="shared" si="102"/>
        <v>עונתי גלובלי</v>
      </c>
      <c r="C467" s="45" t="str">
        <f>'מק"ט'!$C$3&amp;VLOOKUP(G467,'מק"ט'!$D$2:$E$9,2,FALSE)&amp;VLOOKUP(E467,'מק"ט'!$F$2:$G$9,2,FALSE)&amp;D467</f>
        <v>76150707</v>
      </c>
      <c r="D467" s="46" t="s">
        <v>172</v>
      </c>
      <c r="E467" s="91" t="s">
        <v>137</v>
      </c>
      <c r="F467" s="104" t="s">
        <v>128</v>
      </c>
      <c r="G467" s="55" t="s">
        <v>23</v>
      </c>
      <c r="H467" s="50"/>
      <c r="I467" s="50"/>
      <c r="J467" s="50"/>
      <c r="K467" s="67"/>
      <c r="L467" s="227">
        <f t="shared" si="91"/>
        <v>465</v>
      </c>
      <c r="O467" s="42"/>
      <c r="P467" s="43"/>
      <c r="Q467" s="43"/>
      <c r="R467" s="43"/>
      <c r="S467" s="44"/>
      <c r="T467" s="186"/>
    </row>
    <row r="468" spans="2:20" ht="15" x14ac:dyDescent="0.2">
      <c r="B468" s="32" t="str">
        <f t="shared" si="56"/>
        <v>תכניות/פרקים</v>
      </c>
      <c r="C468" s="45" t="str">
        <f>'מק"ט'!$C$3&amp;VLOOKUP(G468,'מק"ט'!$D$2:$E$9,2,FALSE)&amp;VLOOKUP(E468,'מק"ט'!$F$2:$G$9,2,FALSE)&amp;D468</f>
        <v>76110715</v>
      </c>
      <c r="D468" s="62">
        <v>15</v>
      </c>
      <c r="E468" s="91" t="s">
        <v>137</v>
      </c>
      <c r="F468" s="104" t="s">
        <v>129</v>
      </c>
      <c r="G468" s="55" t="s">
        <v>25</v>
      </c>
      <c r="H468" s="49"/>
      <c r="I468" s="75"/>
      <c r="J468" s="75"/>
      <c r="K468" s="51" t="s">
        <v>179</v>
      </c>
      <c r="L468" s="227">
        <f t="shared" si="91"/>
        <v>470</v>
      </c>
      <c r="O468" s="42">
        <f>IFERROR(VLOOKUP(C468,תקציב!$D$22:$J$177,6,0),0)</f>
        <v>0</v>
      </c>
      <c r="P468" s="43">
        <f>IFERROR(VLOOKUP(C468,תקציב!$D$22:$J$177,5,0),0)</f>
        <v>0</v>
      </c>
      <c r="Q468" s="43">
        <f>IF(ISNUMBER(VLOOKUP(C468,תקציב!$D$22:$J$177,3,FALSE)),VLOOKUP(C468,תקציב!$D$22:$J$177,3,FALSE),1)</f>
        <v>1</v>
      </c>
      <c r="R468" s="43">
        <f t="shared" si="77"/>
        <v>0</v>
      </c>
      <c r="S468" s="44">
        <f t="shared" si="78"/>
        <v>0</v>
      </c>
      <c r="T468" s="186">
        <f>IFERROR(VLOOKUP(C468,תקציב!$D$22:$K$177,7,FALSE),0)-S468</f>
        <v>0</v>
      </c>
    </row>
    <row r="469" spans="2:20" ht="15" x14ac:dyDescent="0.2">
      <c r="B469" s="32" t="str">
        <f t="shared" si="56"/>
        <v>ימים</v>
      </c>
      <c r="C469" s="45" t="str">
        <f>'מק"ט'!$C$3&amp;VLOOKUP(G469,'מק"ט'!$D$2:$E$9,2,FALSE)&amp;VLOOKUP(E469,'מק"ט'!$F$2:$G$9,2,FALSE)&amp;D469</f>
        <v>76120715</v>
      </c>
      <c r="D469" s="62">
        <v>15</v>
      </c>
      <c r="E469" s="91" t="s">
        <v>137</v>
      </c>
      <c r="F469" s="104" t="s">
        <v>129</v>
      </c>
      <c r="G469" s="55" t="s">
        <v>21</v>
      </c>
      <c r="H469" s="49"/>
      <c r="I469" s="75"/>
      <c r="J469" s="75"/>
      <c r="K469" s="51"/>
      <c r="L469" s="227">
        <f t="shared" si="91"/>
        <v>470</v>
      </c>
      <c r="O469" s="42">
        <f>IFERROR(VLOOKUP(C469,תקציב!$D$22:$J$177,6,0),0)</f>
        <v>0</v>
      </c>
      <c r="P469" s="43">
        <f>IFERROR(VLOOKUP(C469,תקציב!$D$22:$J$177,5,0),0)</f>
        <v>0</v>
      </c>
      <c r="Q469" s="43">
        <f>IF(ISNUMBER(VLOOKUP(C469,תקציב!$D$22:$J$177,3,FALSE)),VLOOKUP(C469,תקציב!$D$22:$J$177,3,FALSE),1)</f>
        <v>1</v>
      </c>
      <c r="R469" s="43">
        <f t="shared" si="77"/>
        <v>0</v>
      </c>
      <c r="S469" s="44">
        <f t="shared" si="78"/>
        <v>0</v>
      </c>
      <c r="T469" s="186">
        <f>IFERROR(VLOOKUP(C469,תקציב!$D$22:$K$177,7,FALSE),0)-S469</f>
        <v>0</v>
      </c>
    </row>
    <row r="470" spans="2:20" ht="15" x14ac:dyDescent="0.2">
      <c r="B470" s="32" t="str">
        <f t="shared" ref="B470:B472" si="103">G470</f>
        <v>שבועות</v>
      </c>
      <c r="C470" s="45" t="str">
        <f>'מק"ט'!$C$3&amp;VLOOKUP(G470,'מק"ט'!$D$2:$E$9,2,FALSE)&amp;VLOOKUP(E470,'מק"ט'!$F$2:$G$9,2,FALSE)&amp;D470</f>
        <v>76130715</v>
      </c>
      <c r="D470" s="62">
        <v>15</v>
      </c>
      <c r="E470" s="91" t="s">
        <v>137</v>
      </c>
      <c r="F470" s="104" t="s">
        <v>129</v>
      </c>
      <c r="G470" s="55" t="s">
        <v>26</v>
      </c>
      <c r="H470" s="49"/>
      <c r="I470" s="75"/>
      <c r="J470" s="75"/>
      <c r="K470" s="51"/>
      <c r="L470" s="227">
        <f t="shared" si="91"/>
        <v>470</v>
      </c>
      <c r="O470" s="42"/>
      <c r="P470" s="43"/>
      <c r="Q470" s="43"/>
      <c r="R470" s="43"/>
      <c r="S470" s="44"/>
      <c r="T470" s="186"/>
    </row>
    <row r="471" spans="2:20" ht="15" x14ac:dyDescent="0.2">
      <c r="B471" s="32" t="str">
        <f t="shared" si="103"/>
        <v>חודשים</v>
      </c>
      <c r="C471" s="45" t="str">
        <f>'מק"ט'!$C$3&amp;VLOOKUP(G471,'מק"ט'!$D$2:$E$9,2,FALSE)&amp;VLOOKUP(E471,'מק"ט'!$F$2:$G$9,2,FALSE)&amp;D471</f>
        <v>76140715</v>
      </c>
      <c r="D471" s="62">
        <v>15</v>
      </c>
      <c r="E471" s="91" t="s">
        <v>137</v>
      </c>
      <c r="F471" s="104" t="s">
        <v>129</v>
      </c>
      <c r="G471" s="55" t="s">
        <v>24</v>
      </c>
      <c r="H471" s="49"/>
      <c r="I471" s="75"/>
      <c r="J471" s="75"/>
      <c r="K471" s="51"/>
      <c r="L471" s="227">
        <f t="shared" si="91"/>
        <v>470</v>
      </c>
      <c r="O471" s="42"/>
      <c r="P471" s="43"/>
      <c r="Q471" s="43"/>
      <c r="R471" s="43"/>
      <c r="S471" s="44"/>
      <c r="T471" s="186"/>
    </row>
    <row r="472" spans="2:20" ht="15" x14ac:dyDescent="0.2">
      <c r="B472" s="32" t="str">
        <f t="shared" si="103"/>
        <v>עונתי גלובלי</v>
      </c>
      <c r="C472" s="45" t="str">
        <f>'מק"ט'!$C$3&amp;VLOOKUP(G472,'מק"ט'!$D$2:$E$9,2,FALSE)&amp;VLOOKUP(E472,'מק"ט'!$F$2:$G$9,2,FALSE)&amp;D472</f>
        <v>76150715</v>
      </c>
      <c r="D472" s="62">
        <v>15</v>
      </c>
      <c r="E472" s="91" t="s">
        <v>137</v>
      </c>
      <c r="F472" s="104" t="s">
        <v>129</v>
      </c>
      <c r="G472" s="55" t="s">
        <v>23</v>
      </c>
      <c r="H472" s="49"/>
      <c r="I472" s="75"/>
      <c r="J472" s="75"/>
      <c r="K472" s="51"/>
      <c r="L472" s="227">
        <f t="shared" si="91"/>
        <v>470</v>
      </c>
      <c r="O472" s="42"/>
      <c r="P472" s="43"/>
      <c r="Q472" s="43"/>
      <c r="R472" s="43"/>
      <c r="S472" s="44"/>
      <c r="T472" s="186"/>
    </row>
    <row r="473" spans="2:20" ht="15" x14ac:dyDescent="0.2">
      <c r="B473" s="32" t="str">
        <f t="shared" si="56"/>
        <v>תכניות/פרקים</v>
      </c>
      <c r="C473" s="45" t="str">
        <f>'מק"ט'!$C$3&amp;VLOOKUP(G473,'מק"ט'!$D$2:$E$9,2,FALSE)&amp;VLOOKUP(E473,'מק"ט'!$F$2:$G$9,2,FALSE)&amp;D473</f>
        <v>76110708</v>
      </c>
      <c r="D473" s="60" t="s">
        <v>166</v>
      </c>
      <c r="E473" s="93" t="s">
        <v>137</v>
      </c>
      <c r="F473" s="103" t="s">
        <v>130</v>
      </c>
      <c r="G473" s="55" t="s">
        <v>25</v>
      </c>
      <c r="H473" s="55"/>
      <c r="I473" s="68"/>
      <c r="J473" s="68"/>
      <c r="K473" s="57" t="s">
        <v>178</v>
      </c>
      <c r="L473" s="227">
        <f t="shared" si="91"/>
        <v>475</v>
      </c>
      <c r="O473" s="42">
        <f>IFERROR(VLOOKUP(C473,תקציב!$D$22:$J$177,6,0),0)</f>
        <v>0</v>
      </c>
      <c r="P473" s="43">
        <f>IFERROR(VLOOKUP(C473,תקציב!$D$22:$J$177,5,0),0)</f>
        <v>0</v>
      </c>
      <c r="Q473" s="43">
        <f>IF(ISNUMBER(VLOOKUP(C473,תקציב!$D$22:$J$177,3,FALSE)),VLOOKUP(C473,תקציב!$D$22:$J$177,3,FALSE),1)</f>
        <v>1</v>
      </c>
      <c r="R473" s="43">
        <f t="shared" si="77"/>
        <v>0</v>
      </c>
      <c r="S473" s="44">
        <f t="shared" si="78"/>
        <v>0</v>
      </c>
      <c r="T473" s="186">
        <f>IFERROR(VLOOKUP(C473,תקציב!$D$22:$K$177,7,FALSE),0)-S473</f>
        <v>0</v>
      </c>
    </row>
    <row r="474" spans="2:20" ht="15" x14ac:dyDescent="0.2">
      <c r="B474" s="32" t="str">
        <f t="shared" si="56"/>
        <v>ימים</v>
      </c>
      <c r="C474" s="45" t="str">
        <f>'מק"ט'!$C$3&amp;VLOOKUP(G474,'מק"ט'!$D$2:$E$9,2,FALSE)&amp;VLOOKUP(E474,'מק"ט'!$F$2:$G$9,2,FALSE)&amp;D474</f>
        <v>76120708</v>
      </c>
      <c r="D474" s="60" t="s">
        <v>166</v>
      </c>
      <c r="E474" s="93" t="s">
        <v>137</v>
      </c>
      <c r="F474" s="103" t="s">
        <v>130</v>
      </c>
      <c r="G474" s="55" t="s">
        <v>21</v>
      </c>
      <c r="H474" s="55"/>
      <c r="I474" s="68"/>
      <c r="J474" s="68"/>
      <c r="K474" s="57"/>
      <c r="L474" s="227">
        <f t="shared" si="91"/>
        <v>475</v>
      </c>
      <c r="O474" s="42"/>
      <c r="P474" s="43"/>
      <c r="Q474" s="43"/>
      <c r="R474" s="43"/>
      <c r="S474" s="44"/>
      <c r="T474" s="186"/>
    </row>
    <row r="475" spans="2:20" ht="15" x14ac:dyDescent="0.2">
      <c r="B475" s="32" t="str">
        <f t="shared" ref="B475:B477" si="104">G475</f>
        <v>שבועות</v>
      </c>
      <c r="C475" s="45" t="str">
        <f>'מק"ט'!$C$3&amp;VLOOKUP(G475,'מק"ט'!$D$2:$E$9,2,FALSE)&amp;VLOOKUP(E475,'מק"ט'!$F$2:$G$9,2,FALSE)&amp;D475</f>
        <v>76130708</v>
      </c>
      <c r="D475" s="60" t="s">
        <v>166</v>
      </c>
      <c r="E475" s="93" t="s">
        <v>137</v>
      </c>
      <c r="F475" s="103" t="s">
        <v>130</v>
      </c>
      <c r="G475" s="55" t="s">
        <v>26</v>
      </c>
      <c r="H475" s="55"/>
      <c r="I475" s="68"/>
      <c r="J475" s="68"/>
      <c r="K475" s="57"/>
      <c r="L475" s="227">
        <f t="shared" si="91"/>
        <v>475</v>
      </c>
      <c r="O475" s="42"/>
      <c r="P475" s="43"/>
      <c r="Q475" s="43"/>
      <c r="R475" s="43"/>
      <c r="S475" s="44"/>
      <c r="T475" s="186"/>
    </row>
    <row r="476" spans="2:20" ht="15" x14ac:dyDescent="0.2">
      <c r="B476" s="32" t="str">
        <f t="shared" si="104"/>
        <v>חודשים</v>
      </c>
      <c r="C476" s="45" t="str">
        <f>'מק"ט'!$C$3&amp;VLOOKUP(G476,'מק"ט'!$D$2:$E$9,2,FALSE)&amp;VLOOKUP(E476,'מק"ט'!$F$2:$G$9,2,FALSE)&amp;D476</f>
        <v>76140708</v>
      </c>
      <c r="D476" s="60" t="s">
        <v>166</v>
      </c>
      <c r="E476" s="93" t="s">
        <v>137</v>
      </c>
      <c r="F476" s="103" t="s">
        <v>130</v>
      </c>
      <c r="G476" s="55" t="s">
        <v>24</v>
      </c>
      <c r="H476" s="55"/>
      <c r="I476" s="68"/>
      <c r="J476" s="68"/>
      <c r="K476" s="57"/>
      <c r="L476" s="227">
        <f t="shared" si="91"/>
        <v>475</v>
      </c>
      <c r="O476" s="42"/>
      <c r="P476" s="43"/>
      <c r="Q476" s="43"/>
      <c r="R476" s="43"/>
      <c r="S476" s="44"/>
      <c r="T476" s="186"/>
    </row>
    <row r="477" spans="2:20" ht="15" x14ac:dyDescent="0.2">
      <c r="B477" s="32" t="str">
        <f t="shared" si="104"/>
        <v>עונתי גלובלי</v>
      </c>
      <c r="C477" s="45" t="str">
        <f>'מק"ט'!$C$3&amp;VLOOKUP(G477,'מק"ט'!$D$2:$E$9,2,FALSE)&amp;VLOOKUP(E477,'מק"ט'!$F$2:$G$9,2,FALSE)&amp;D477</f>
        <v>76150708</v>
      </c>
      <c r="D477" s="60" t="s">
        <v>166</v>
      </c>
      <c r="E477" s="93" t="s">
        <v>137</v>
      </c>
      <c r="F477" s="103" t="s">
        <v>130</v>
      </c>
      <c r="G477" s="55" t="s">
        <v>23</v>
      </c>
      <c r="H477" s="55"/>
      <c r="I477" s="68"/>
      <c r="J477" s="68"/>
      <c r="K477" s="57"/>
      <c r="L477" s="227">
        <f t="shared" si="91"/>
        <v>475</v>
      </c>
      <c r="O477" s="42"/>
      <c r="P477" s="43"/>
      <c r="Q477" s="43"/>
      <c r="R477" s="43"/>
      <c r="S477" s="44"/>
      <c r="T477" s="186"/>
    </row>
    <row r="478" spans="2:20" ht="15" x14ac:dyDescent="0.2">
      <c r="B478" s="32" t="str">
        <f t="shared" si="56"/>
        <v>תכניות/פרקים</v>
      </c>
      <c r="C478" s="45" t="str">
        <f>'מק"ט'!$C$3&amp;VLOOKUP(G478,'מק"ט'!$D$2:$E$9,2,FALSE)&amp;VLOOKUP(E478,'מק"ט'!$F$2:$G$9,2,FALSE)&amp;D478</f>
        <v>76110716</v>
      </c>
      <c r="D478" s="62">
        <v>16</v>
      </c>
      <c r="E478" s="91" t="s">
        <v>137</v>
      </c>
      <c r="F478" s="104" t="s">
        <v>271</v>
      </c>
      <c r="G478" s="55" t="s">
        <v>25</v>
      </c>
      <c r="H478" s="50"/>
      <c r="I478" s="50"/>
      <c r="J478" s="50"/>
      <c r="K478" s="51" t="s">
        <v>21</v>
      </c>
      <c r="L478" s="227">
        <f t="shared" si="91"/>
        <v>480</v>
      </c>
      <c r="O478" s="42">
        <f>IFERROR(VLOOKUP(C478,תקציב!$D$22:$J$177,6,0),0)</f>
        <v>0</v>
      </c>
      <c r="P478" s="43">
        <f>IFERROR(VLOOKUP(C478,תקציב!$D$22:$J$177,5,0),0)</f>
        <v>0</v>
      </c>
      <c r="Q478" s="43">
        <f>IF(ISNUMBER(VLOOKUP(C478,תקציב!$D$22:$J$177,3,FALSE)),VLOOKUP(C478,תקציב!$D$22:$J$177,3,FALSE),1)</f>
        <v>1</v>
      </c>
      <c r="R478" s="43">
        <f t="shared" si="77"/>
        <v>0</v>
      </c>
      <c r="S478" s="44">
        <f t="shared" si="78"/>
        <v>0</v>
      </c>
      <c r="T478" s="186">
        <f>IFERROR(VLOOKUP(C478,תקציב!$D$22:$K$177,7,FALSE),0)-S478</f>
        <v>0</v>
      </c>
    </row>
    <row r="479" spans="2:20" ht="15" x14ac:dyDescent="0.2">
      <c r="B479" s="32" t="str">
        <f t="shared" si="56"/>
        <v>ימים</v>
      </c>
      <c r="C479" s="45" t="str">
        <f>'מק"ט'!$C$3&amp;VLOOKUP(G479,'מק"ט'!$D$2:$E$9,2,FALSE)&amp;VLOOKUP(E479,'מק"ט'!$F$2:$G$9,2,FALSE)&amp;D479</f>
        <v>76120716</v>
      </c>
      <c r="D479" s="62">
        <v>16</v>
      </c>
      <c r="E479" s="91" t="s">
        <v>137</v>
      </c>
      <c r="F479" s="104" t="s">
        <v>271</v>
      </c>
      <c r="G479" s="55" t="s">
        <v>21</v>
      </c>
      <c r="H479" s="50"/>
      <c r="I479" s="50"/>
      <c r="J479" s="50"/>
      <c r="K479" s="51"/>
      <c r="L479" s="227">
        <f t="shared" si="91"/>
        <v>480</v>
      </c>
      <c r="O479" s="42"/>
      <c r="P479" s="43"/>
      <c r="Q479" s="43"/>
      <c r="R479" s="43"/>
      <c r="S479" s="44"/>
      <c r="T479" s="186"/>
    </row>
    <row r="480" spans="2:20" ht="15" x14ac:dyDescent="0.2">
      <c r="B480" s="32" t="str">
        <f t="shared" ref="B480:B482" si="105">G480</f>
        <v>שבועות</v>
      </c>
      <c r="C480" s="45" t="str">
        <f>'מק"ט'!$C$3&amp;VLOOKUP(G480,'מק"ט'!$D$2:$E$9,2,FALSE)&amp;VLOOKUP(E480,'מק"ט'!$F$2:$G$9,2,FALSE)&amp;D480</f>
        <v>76130716</v>
      </c>
      <c r="D480" s="62">
        <v>16</v>
      </c>
      <c r="E480" s="91" t="s">
        <v>137</v>
      </c>
      <c r="F480" s="104" t="s">
        <v>271</v>
      </c>
      <c r="G480" s="55" t="s">
        <v>26</v>
      </c>
      <c r="H480" s="50"/>
      <c r="I480" s="50"/>
      <c r="J480" s="50"/>
      <c r="K480" s="51"/>
      <c r="L480" s="227">
        <f t="shared" ref="L480:L535" si="106">IF(F480=F479,L479,L479+5)</f>
        <v>480</v>
      </c>
      <c r="O480" s="42"/>
      <c r="P480" s="43"/>
      <c r="Q480" s="43"/>
      <c r="R480" s="43"/>
      <c r="S480" s="44"/>
      <c r="T480" s="186"/>
    </row>
    <row r="481" spans="2:20" ht="15" x14ac:dyDescent="0.2">
      <c r="B481" s="32" t="str">
        <f t="shared" si="105"/>
        <v>חודשים</v>
      </c>
      <c r="C481" s="45" t="str">
        <f>'מק"ט'!$C$3&amp;VLOOKUP(G481,'מק"ט'!$D$2:$E$9,2,FALSE)&amp;VLOOKUP(E481,'מק"ט'!$F$2:$G$9,2,FALSE)&amp;D481</f>
        <v>76140716</v>
      </c>
      <c r="D481" s="62">
        <v>16</v>
      </c>
      <c r="E481" s="91" t="s">
        <v>137</v>
      </c>
      <c r="F481" s="104" t="s">
        <v>271</v>
      </c>
      <c r="G481" s="55" t="s">
        <v>24</v>
      </c>
      <c r="H481" s="50"/>
      <c r="I481" s="50"/>
      <c r="J481" s="50"/>
      <c r="K481" s="51"/>
      <c r="L481" s="227">
        <f t="shared" si="106"/>
        <v>480</v>
      </c>
      <c r="O481" s="42"/>
      <c r="P481" s="43"/>
      <c r="Q481" s="43"/>
      <c r="R481" s="43"/>
      <c r="S481" s="44"/>
      <c r="T481" s="186"/>
    </row>
    <row r="482" spans="2:20" ht="15" x14ac:dyDescent="0.2">
      <c r="B482" s="32" t="str">
        <f t="shared" si="105"/>
        <v>עונתי גלובלי</v>
      </c>
      <c r="C482" s="45" t="str">
        <f>'מק"ט'!$C$3&amp;VLOOKUP(G482,'מק"ט'!$D$2:$E$9,2,FALSE)&amp;VLOOKUP(E482,'מק"ט'!$F$2:$G$9,2,FALSE)&amp;D482</f>
        <v>76150716</v>
      </c>
      <c r="D482" s="62">
        <v>16</v>
      </c>
      <c r="E482" s="91" t="s">
        <v>137</v>
      </c>
      <c r="F482" s="104" t="s">
        <v>271</v>
      </c>
      <c r="G482" s="55" t="s">
        <v>23</v>
      </c>
      <c r="H482" s="50"/>
      <c r="I482" s="50"/>
      <c r="J482" s="50"/>
      <c r="K482" s="51"/>
      <c r="L482" s="227">
        <f t="shared" si="106"/>
        <v>480</v>
      </c>
      <c r="O482" s="42"/>
      <c r="P482" s="43"/>
      <c r="Q482" s="43"/>
      <c r="R482" s="43"/>
      <c r="S482" s="44"/>
      <c r="T482" s="186"/>
    </row>
    <row r="483" spans="2:20" ht="15" x14ac:dyDescent="0.2">
      <c r="B483" s="32" t="str">
        <f t="shared" si="56"/>
        <v>תכניות/פרקים</v>
      </c>
      <c r="C483" s="45" t="str">
        <f>'מק"ט'!$C$3&amp;VLOOKUP(G483,'מק"ט'!$D$2:$E$9,2,FALSE)&amp;VLOOKUP(E483,'מק"ט'!$F$2:$G$9,2,FALSE)&amp;D483</f>
        <v>76110709</v>
      </c>
      <c r="D483" s="76" t="s">
        <v>161</v>
      </c>
      <c r="E483" s="93" t="s">
        <v>137</v>
      </c>
      <c r="F483" s="103" t="s">
        <v>131</v>
      </c>
      <c r="G483" s="55" t="s">
        <v>25</v>
      </c>
      <c r="H483" s="55"/>
      <c r="I483" s="68"/>
      <c r="J483" s="68"/>
      <c r="K483" s="57" t="s">
        <v>180</v>
      </c>
      <c r="L483" s="227">
        <f t="shared" si="106"/>
        <v>485</v>
      </c>
      <c r="O483" s="42">
        <f>IFERROR(VLOOKUP(C483,תקציב!$D$22:$J$177,6,0),0)</f>
        <v>0</v>
      </c>
      <c r="P483" s="43">
        <f>IFERROR(VLOOKUP(C483,תקציב!$D$22:$J$177,5,0),0)</f>
        <v>0</v>
      </c>
      <c r="Q483" s="43">
        <f>IF(ISNUMBER(VLOOKUP(C483,תקציב!$D$22:$J$177,3,FALSE)),VLOOKUP(C483,תקציב!$D$22:$J$177,3,FALSE),1)</f>
        <v>1</v>
      </c>
      <c r="R483" s="43">
        <f t="shared" si="77"/>
        <v>0</v>
      </c>
      <c r="S483" s="44">
        <f t="shared" si="78"/>
        <v>0</v>
      </c>
      <c r="T483" s="186">
        <f>IFERROR(VLOOKUP(C483,תקציב!$D$22:$K$177,7,FALSE),0)-S483</f>
        <v>0</v>
      </c>
    </row>
    <row r="484" spans="2:20" ht="15" x14ac:dyDescent="0.2">
      <c r="B484" s="32" t="str">
        <f t="shared" ref="B484:B487" si="107">G484</f>
        <v>ימים</v>
      </c>
      <c r="C484" s="45" t="str">
        <f>'מק"ט'!$C$3&amp;VLOOKUP(G484,'מק"ט'!$D$2:$E$9,2,FALSE)&amp;VLOOKUP(E484,'מק"ט'!$F$2:$G$9,2,FALSE)&amp;D484</f>
        <v>76120709</v>
      </c>
      <c r="D484" s="76" t="s">
        <v>161</v>
      </c>
      <c r="E484" s="93" t="s">
        <v>137</v>
      </c>
      <c r="F484" s="103" t="s">
        <v>131</v>
      </c>
      <c r="G484" s="55" t="s">
        <v>21</v>
      </c>
      <c r="H484" s="55"/>
      <c r="I484" s="68"/>
      <c r="J484" s="68"/>
      <c r="K484" s="57"/>
      <c r="L484" s="227">
        <f t="shared" si="106"/>
        <v>485</v>
      </c>
      <c r="O484" s="42"/>
      <c r="P484" s="43"/>
      <c r="Q484" s="43"/>
      <c r="R484" s="43"/>
      <c r="S484" s="44"/>
      <c r="T484" s="186"/>
    </row>
    <row r="485" spans="2:20" ht="15" x14ac:dyDescent="0.2">
      <c r="B485" s="32" t="str">
        <f t="shared" si="107"/>
        <v>שבועות</v>
      </c>
      <c r="C485" s="45" t="str">
        <f>'מק"ט'!$C$3&amp;VLOOKUP(G485,'מק"ט'!$D$2:$E$9,2,FALSE)&amp;VLOOKUP(E485,'מק"ט'!$F$2:$G$9,2,FALSE)&amp;D485</f>
        <v>76130709</v>
      </c>
      <c r="D485" s="76" t="s">
        <v>161</v>
      </c>
      <c r="E485" s="93" t="s">
        <v>137</v>
      </c>
      <c r="F485" s="103" t="s">
        <v>131</v>
      </c>
      <c r="G485" s="55" t="s">
        <v>26</v>
      </c>
      <c r="H485" s="55"/>
      <c r="I485" s="68"/>
      <c r="J485" s="68"/>
      <c r="K485" s="57"/>
      <c r="L485" s="227">
        <f t="shared" si="106"/>
        <v>485</v>
      </c>
      <c r="O485" s="42"/>
      <c r="P485" s="43"/>
      <c r="Q485" s="43"/>
      <c r="R485" s="43"/>
      <c r="S485" s="44"/>
      <c r="T485" s="186"/>
    </row>
    <row r="486" spans="2:20" ht="15" x14ac:dyDescent="0.2">
      <c r="B486" s="32" t="str">
        <f t="shared" si="107"/>
        <v>חודשים</v>
      </c>
      <c r="C486" s="45" t="str">
        <f>'מק"ט'!$C$3&amp;VLOOKUP(G486,'מק"ט'!$D$2:$E$9,2,FALSE)&amp;VLOOKUP(E486,'מק"ט'!$F$2:$G$9,2,FALSE)&amp;D486</f>
        <v>76140709</v>
      </c>
      <c r="D486" s="76" t="s">
        <v>161</v>
      </c>
      <c r="E486" s="93" t="s">
        <v>137</v>
      </c>
      <c r="F486" s="103" t="s">
        <v>131</v>
      </c>
      <c r="G486" s="55" t="s">
        <v>24</v>
      </c>
      <c r="H486" s="55"/>
      <c r="I486" s="68"/>
      <c r="J486" s="68"/>
      <c r="K486" s="57"/>
      <c r="L486" s="227">
        <f t="shared" si="106"/>
        <v>485</v>
      </c>
      <c r="O486" s="42"/>
      <c r="P486" s="43"/>
      <c r="Q486" s="43"/>
      <c r="R486" s="43"/>
      <c r="S486" s="44"/>
      <c r="T486" s="186"/>
    </row>
    <row r="487" spans="2:20" ht="15" x14ac:dyDescent="0.2">
      <c r="B487" s="32" t="str">
        <f t="shared" si="107"/>
        <v>עונתי גלובלי</v>
      </c>
      <c r="C487" s="45" t="str">
        <f>'מק"ט'!$C$3&amp;VLOOKUP(G487,'מק"ט'!$D$2:$E$9,2,FALSE)&amp;VLOOKUP(E487,'מק"ט'!$F$2:$G$9,2,FALSE)&amp;D487</f>
        <v>76150709</v>
      </c>
      <c r="D487" s="76" t="s">
        <v>161</v>
      </c>
      <c r="E487" s="93" t="s">
        <v>137</v>
      </c>
      <c r="F487" s="103" t="s">
        <v>131</v>
      </c>
      <c r="G487" s="55" t="s">
        <v>23</v>
      </c>
      <c r="H487" s="55"/>
      <c r="I487" s="68"/>
      <c r="J487" s="68"/>
      <c r="K487" s="57"/>
      <c r="L487" s="227">
        <f t="shared" si="106"/>
        <v>485</v>
      </c>
      <c r="O487" s="42"/>
      <c r="P487" s="43"/>
      <c r="Q487" s="43"/>
      <c r="R487" s="43"/>
      <c r="S487" s="44"/>
      <c r="T487" s="186"/>
    </row>
    <row r="488" spans="2:20" ht="15" x14ac:dyDescent="0.2">
      <c r="B488" s="32" t="str">
        <f t="shared" ref="B488:B535" si="108">G488</f>
        <v>תכניות/פרקים</v>
      </c>
      <c r="C488" s="45" t="str">
        <f>'מק"ט'!$C$3&amp;VLOOKUP(G488,'מק"ט'!$D$2:$E$9,2,FALSE)&amp;VLOOKUP(E488,'מק"ט'!$F$2:$G$9,2,FALSE)&amp;D488</f>
        <v>76110718</v>
      </c>
      <c r="D488" s="62">
        <v>18</v>
      </c>
      <c r="E488" s="91" t="s">
        <v>137</v>
      </c>
      <c r="F488" s="104" t="s">
        <v>132</v>
      </c>
      <c r="G488" s="55" t="s">
        <v>25</v>
      </c>
      <c r="H488" s="49"/>
      <c r="I488" s="75"/>
      <c r="J488" s="75"/>
      <c r="K488" s="51" t="s">
        <v>180</v>
      </c>
      <c r="L488" s="227">
        <f t="shared" si="106"/>
        <v>490</v>
      </c>
      <c r="O488" s="42">
        <f>IFERROR(VLOOKUP(C488,תקציב!$D$22:$J$177,6,0),0)</f>
        <v>0</v>
      </c>
      <c r="P488" s="43">
        <f>IFERROR(VLOOKUP(C488,תקציב!$D$22:$J$177,5,0),0)</f>
        <v>0</v>
      </c>
      <c r="Q488" s="43">
        <f>IF(ISNUMBER(VLOOKUP(C488,תקציב!$D$22:$J$177,3,FALSE)),VLOOKUP(C488,תקציב!$D$22:$J$177,3,FALSE),1)</f>
        <v>1</v>
      </c>
      <c r="R488" s="43">
        <f t="shared" si="77"/>
        <v>0</v>
      </c>
      <c r="S488" s="44">
        <f t="shared" si="78"/>
        <v>0</v>
      </c>
      <c r="T488" s="186">
        <f>IFERROR(VLOOKUP(C488,תקציב!$D$22:$K$177,7,FALSE),0)-S488</f>
        <v>0</v>
      </c>
    </row>
    <row r="489" spans="2:20" ht="15" x14ac:dyDescent="0.2">
      <c r="B489" s="32" t="str">
        <f t="shared" ref="B489:B492" si="109">G489</f>
        <v>ימים</v>
      </c>
      <c r="C489" s="45" t="str">
        <f>'מק"ט'!$C$3&amp;VLOOKUP(G489,'מק"ט'!$D$2:$E$9,2,FALSE)&amp;VLOOKUP(E489,'מק"ט'!$F$2:$G$9,2,FALSE)&amp;D489</f>
        <v>76120718</v>
      </c>
      <c r="D489" s="62">
        <v>18</v>
      </c>
      <c r="E489" s="91" t="s">
        <v>137</v>
      </c>
      <c r="F489" s="104" t="s">
        <v>132</v>
      </c>
      <c r="G489" s="55" t="s">
        <v>21</v>
      </c>
      <c r="H489" s="49"/>
      <c r="I489" s="75"/>
      <c r="J489" s="75"/>
      <c r="K489" s="51"/>
      <c r="L489" s="227">
        <f t="shared" si="106"/>
        <v>490</v>
      </c>
      <c r="O489" s="42"/>
      <c r="P489" s="43"/>
      <c r="Q489" s="43"/>
      <c r="R489" s="43"/>
      <c r="S489" s="44"/>
      <c r="T489" s="186"/>
    </row>
    <row r="490" spans="2:20" ht="15" x14ac:dyDescent="0.2">
      <c r="B490" s="32" t="str">
        <f t="shared" si="109"/>
        <v>שבועות</v>
      </c>
      <c r="C490" s="45" t="str">
        <f>'מק"ט'!$C$3&amp;VLOOKUP(G490,'מק"ט'!$D$2:$E$9,2,FALSE)&amp;VLOOKUP(E490,'מק"ט'!$F$2:$G$9,2,FALSE)&amp;D490</f>
        <v>76130718</v>
      </c>
      <c r="D490" s="62">
        <v>18</v>
      </c>
      <c r="E490" s="91" t="s">
        <v>137</v>
      </c>
      <c r="F490" s="104" t="s">
        <v>132</v>
      </c>
      <c r="G490" s="55" t="s">
        <v>26</v>
      </c>
      <c r="H490" s="49"/>
      <c r="I490" s="75"/>
      <c r="J490" s="75"/>
      <c r="K490" s="51"/>
      <c r="L490" s="227">
        <f t="shared" si="106"/>
        <v>490</v>
      </c>
      <c r="O490" s="42"/>
      <c r="P490" s="43"/>
      <c r="Q490" s="43"/>
      <c r="R490" s="43"/>
      <c r="S490" s="44"/>
      <c r="T490" s="186"/>
    </row>
    <row r="491" spans="2:20" ht="15" x14ac:dyDescent="0.2">
      <c r="B491" s="32" t="str">
        <f t="shared" si="109"/>
        <v>חודשים</v>
      </c>
      <c r="C491" s="45" t="str">
        <f>'מק"ט'!$C$3&amp;VLOOKUP(G491,'מק"ט'!$D$2:$E$9,2,FALSE)&amp;VLOOKUP(E491,'מק"ט'!$F$2:$G$9,2,FALSE)&amp;D491</f>
        <v>76140718</v>
      </c>
      <c r="D491" s="62">
        <v>18</v>
      </c>
      <c r="E491" s="91" t="s">
        <v>137</v>
      </c>
      <c r="F491" s="104" t="s">
        <v>132</v>
      </c>
      <c r="G491" s="55" t="s">
        <v>24</v>
      </c>
      <c r="H491" s="49"/>
      <c r="I491" s="75"/>
      <c r="J491" s="75"/>
      <c r="K491" s="51"/>
      <c r="L491" s="227">
        <f t="shared" si="106"/>
        <v>490</v>
      </c>
      <c r="O491" s="42"/>
      <c r="P491" s="43"/>
      <c r="Q491" s="43"/>
      <c r="R491" s="43"/>
      <c r="S491" s="44"/>
      <c r="T491" s="186"/>
    </row>
    <row r="492" spans="2:20" ht="15" x14ac:dyDescent="0.2">
      <c r="B492" s="32" t="str">
        <f t="shared" si="109"/>
        <v>עונתי גלובלי</v>
      </c>
      <c r="C492" s="45" t="str">
        <f>'מק"ט'!$C$3&amp;VLOOKUP(G492,'מק"ט'!$D$2:$E$9,2,FALSE)&amp;VLOOKUP(E492,'מק"ט'!$F$2:$G$9,2,FALSE)&amp;D492</f>
        <v>76150718</v>
      </c>
      <c r="D492" s="62">
        <v>18</v>
      </c>
      <c r="E492" s="91" t="s">
        <v>137</v>
      </c>
      <c r="F492" s="104" t="s">
        <v>132</v>
      </c>
      <c r="G492" s="55" t="s">
        <v>23</v>
      </c>
      <c r="H492" s="49"/>
      <c r="I492" s="75"/>
      <c r="J492" s="75"/>
      <c r="K492" s="51"/>
      <c r="L492" s="227">
        <f t="shared" si="106"/>
        <v>490</v>
      </c>
      <c r="O492" s="42"/>
      <c r="P492" s="43"/>
      <c r="Q492" s="43"/>
      <c r="R492" s="43"/>
      <c r="S492" s="44"/>
      <c r="T492" s="186"/>
    </row>
    <row r="493" spans="2:20" ht="15" x14ac:dyDescent="0.2">
      <c r="B493" s="32" t="str">
        <f t="shared" ref="B493:B497" si="110">G493</f>
        <v>תכניות/פרקים</v>
      </c>
      <c r="C493" s="45" t="str">
        <f>'מק"ט'!$C$3&amp;VLOOKUP(G493,'מק"ט'!$D$2:$E$9,2,FALSE)&amp;VLOOKUP(E493,'מק"ט'!$F$2:$G$9,2,FALSE)&amp;D493</f>
        <v>76110722</v>
      </c>
      <c r="D493" s="62">
        <v>22</v>
      </c>
      <c r="E493" s="91" t="s">
        <v>137</v>
      </c>
      <c r="F493" s="104" t="s">
        <v>270</v>
      </c>
      <c r="G493" s="55" t="s">
        <v>25</v>
      </c>
      <c r="H493" s="49"/>
      <c r="I493" s="75"/>
      <c r="J493" s="75"/>
      <c r="K493" s="51"/>
      <c r="L493" s="227">
        <f t="shared" si="106"/>
        <v>495</v>
      </c>
      <c r="O493" s="42"/>
      <c r="P493" s="43"/>
      <c r="Q493" s="43"/>
      <c r="R493" s="43"/>
      <c r="S493" s="44"/>
      <c r="T493" s="186"/>
    </row>
    <row r="494" spans="2:20" ht="15" x14ac:dyDescent="0.2">
      <c r="B494" s="32" t="str">
        <f t="shared" si="110"/>
        <v>ימים</v>
      </c>
      <c r="C494" s="45" t="str">
        <f>'מק"ט'!$C$3&amp;VLOOKUP(G494,'מק"ט'!$D$2:$E$9,2,FALSE)&amp;VLOOKUP(E494,'מק"ט'!$F$2:$G$9,2,FALSE)&amp;D494</f>
        <v>76120722</v>
      </c>
      <c r="D494" s="62">
        <v>22</v>
      </c>
      <c r="E494" s="91" t="s">
        <v>137</v>
      </c>
      <c r="F494" s="104" t="s">
        <v>270</v>
      </c>
      <c r="G494" s="55" t="s">
        <v>21</v>
      </c>
      <c r="H494" s="49"/>
      <c r="I494" s="75"/>
      <c r="J494" s="75"/>
      <c r="K494" s="51"/>
      <c r="L494" s="227">
        <f t="shared" si="106"/>
        <v>495</v>
      </c>
      <c r="O494" s="42"/>
      <c r="P494" s="43"/>
      <c r="Q494" s="43"/>
      <c r="R494" s="43"/>
      <c r="S494" s="44"/>
      <c r="T494" s="186"/>
    </row>
    <row r="495" spans="2:20" ht="15" x14ac:dyDescent="0.2">
      <c r="B495" s="32" t="str">
        <f t="shared" si="110"/>
        <v>שבועות</v>
      </c>
      <c r="C495" s="45" t="str">
        <f>'מק"ט'!$C$3&amp;VLOOKUP(G495,'מק"ט'!$D$2:$E$9,2,FALSE)&amp;VLOOKUP(E495,'מק"ט'!$F$2:$G$9,2,FALSE)&amp;D495</f>
        <v>76130722</v>
      </c>
      <c r="D495" s="62">
        <v>22</v>
      </c>
      <c r="E495" s="91" t="s">
        <v>137</v>
      </c>
      <c r="F495" s="104" t="s">
        <v>270</v>
      </c>
      <c r="G495" s="55" t="s">
        <v>26</v>
      </c>
      <c r="H495" s="49"/>
      <c r="I495" s="75"/>
      <c r="J495" s="75"/>
      <c r="K495" s="51"/>
      <c r="L495" s="227">
        <f t="shared" si="106"/>
        <v>495</v>
      </c>
      <c r="O495" s="42"/>
      <c r="P495" s="43"/>
      <c r="Q495" s="43"/>
      <c r="R495" s="43"/>
      <c r="S495" s="44"/>
      <c r="T495" s="186"/>
    </row>
    <row r="496" spans="2:20" ht="15" x14ac:dyDescent="0.2">
      <c r="B496" s="32" t="str">
        <f t="shared" si="110"/>
        <v>חודשים</v>
      </c>
      <c r="C496" s="45" t="str">
        <f>'מק"ט'!$C$3&amp;VLOOKUP(G496,'מק"ט'!$D$2:$E$9,2,FALSE)&amp;VLOOKUP(E496,'מק"ט'!$F$2:$G$9,2,FALSE)&amp;D496</f>
        <v>76140722</v>
      </c>
      <c r="D496" s="62">
        <v>22</v>
      </c>
      <c r="E496" s="91" t="s">
        <v>137</v>
      </c>
      <c r="F496" s="104" t="s">
        <v>270</v>
      </c>
      <c r="G496" s="55" t="s">
        <v>24</v>
      </c>
      <c r="H496" s="49"/>
      <c r="I496" s="75"/>
      <c r="J496" s="75"/>
      <c r="K496" s="51"/>
      <c r="L496" s="227">
        <f t="shared" si="106"/>
        <v>495</v>
      </c>
      <c r="O496" s="42"/>
      <c r="P496" s="43"/>
      <c r="Q496" s="43"/>
      <c r="R496" s="43"/>
      <c r="S496" s="44"/>
      <c r="T496" s="186"/>
    </row>
    <row r="497" spans="2:20" ht="15" x14ac:dyDescent="0.2">
      <c r="B497" s="32" t="str">
        <f t="shared" si="110"/>
        <v>עונתי גלובלי</v>
      </c>
      <c r="C497" s="45" t="str">
        <f>'מק"ט'!$C$3&amp;VLOOKUP(G497,'מק"ט'!$D$2:$E$9,2,FALSE)&amp;VLOOKUP(E497,'מק"ט'!$F$2:$G$9,2,FALSE)&amp;D497</f>
        <v>76150722</v>
      </c>
      <c r="D497" s="62">
        <v>22</v>
      </c>
      <c r="E497" s="91" t="s">
        <v>137</v>
      </c>
      <c r="F497" s="104" t="s">
        <v>270</v>
      </c>
      <c r="G497" s="55" t="s">
        <v>23</v>
      </c>
      <c r="H497" s="49"/>
      <c r="I497" s="75"/>
      <c r="J497" s="75"/>
      <c r="K497" s="51"/>
      <c r="L497" s="227">
        <f t="shared" si="106"/>
        <v>495</v>
      </c>
      <c r="O497" s="42"/>
      <c r="P497" s="43"/>
      <c r="Q497" s="43"/>
      <c r="R497" s="43"/>
      <c r="S497" s="44"/>
      <c r="T497" s="186"/>
    </row>
    <row r="498" spans="2:20" ht="15" x14ac:dyDescent="0.2">
      <c r="B498" s="32" t="str">
        <f t="shared" si="108"/>
        <v>תכניות/פרקים</v>
      </c>
      <c r="C498" s="45" t="str">
        <f>'מק"ט'!$C$3&amp;VLOOKUP(G498,'מק"ט'!$D$2:$E$9,2,FALSE)&amp;VLOOKUP(E498,'מק"ט'!$F$2:$G$9,2,FALSE)&amp;D498</f>
        <v>76110710</v>
      </c>
      <c r="D498" s="52">
        <v>10</v>
      </c>
      <c r="E498" s="93" t="s">
        <v>137</v>
      </c>
      <c r="F498" s="103" t="s">
        <v>133</v>
      </c>
      <c r="G498" s="55" t="s">
        <v>25</v>
      </c>
      <c r="H498" s="55"/>
      <c r="I498" s="68"/>
      <c r="J498" s="68"/>
      <c r="K498" s="57" t="s">
        <v>178</v>
      </c>
      <c r="L498" s="227">
        <f t="shared" si="106"/>
        <v>500</v>
      </c>
      <c r="O498" s="42">
        <f>IFERROR(VLOOKUP(C498,תקציב!$D$22:$J$177,6,0),0)</f>
        <v>0</v>
      </c>
      <c r="P498" s="43">
        <f>IFERROR(VLOOKUP(C498,תקציב!$D$22:$J$177,5,0),0)</f>
        <v>0</v>
      </c>
      <c r="Q498" s="43">
        <f>IF(ISNUMBER(VLOOKUP(C498,תקציב!$D$22:$J$177,3,FALSE)),VLOOKUP(C498,תקציב!$D$22:$J$177,3,FALSE),1)</f>
        <v>1</v>
      </c>
      <c r="R498" s="43">
        <f t="shared" si="77"/>
        <v>0</v>
      </c>
      <c r="S498" s="44">
        <f t="shared" si="78"/>
        <v>0</v>
      </c>
      <c r="T498" s="186">
        <f>IFERROR(VLOOKUP(C498,תקציב!$D$22:$K$177,7,FALSE),0)-S498</f>
        <v>0</v>
      </c>
    </row>
    <row r="499" spans="2:20" ht="15" x14ac:dyDescent="0.2">
      <c r="B499" s="32" t="str">
        <f t="shared" ref="B499:B502" si="111">G499</f>
        <v>ימים</v>
      </c>
      <c r="C499" s="45" t="str">
        <f>'מק"ט'!$C$3&amp;VLOOKUP(G499,'מק"ט'!$D$2:$E$9,2,FALSE)&amp;VLOOKUP(E499,'מק"ט'!$F$2:$G$9,2,FALSE)&amp;D499</f>
        <v>76120710</v>
      </c>
      <c r="D499" s="52">
        <v>10</v>
      </c>
      <c r="E499" s="93" t="s">
        <v>137</v>
      </c>
      <c r="F499" s="103" t="s">
        <v>133</v>
      </c>
      <c r="G499" s="55" t="s">
        <v>21</v>
      </c>
      <c r="H499" s="55"/>
      <c r="I499" s="68"/>
      <c r="J499" s="68"/>
      <c r="K499" s="57"/>
      <c r="L499" s="227">
        <f t="shared" si="106"/>
        <v>500</v>
      </c>
      <c r="O499" s="42"/>
      <c r="P499" s="43"/>
      <c r="Q499" s="43"/>
      <c r="R499" s="43"/>
      <c r="S499" s="44"/>
      <c r="T499" s="186"/>
    </row>
    <row r="500" spans="2:20" ht="15" x14ac:dyDescent="0.2">
      <c r="B500" s="32" t="str">
        <f t="shared" si="111"/>
        <v>שבועות</v>
      </c>
      <c r="C500" s="45" t="str">
        <f>'מק"ט'!$C$3&amp;VLOOKUP(G500,'מק"ט'!$D$2:$E$9,2,FALSE)&amp;VLOOKUP(E500,'מק"ט'!$F$2:$G$9,2,FALSE)&amp;D500</f>
        <v>76130710</v>
      </c>
      <c r="D500" s="52">
        <v>10</v>
      </c>
      <c r="E500" s="93" t="s">
        <v>137</v>
      </c>
      <c r="F500" s="103" t="s">
        <v>133</v>
      </c>
      <c r="G500" s="55" t="s">
        <v>26</v>
      </c>
      <c r="H500" s="55"/>
      <c r="I500" s="68"/>
      <c r="J500" s="68"/>
      <c r="K500" s="57"/>
      <c r="L500" s="227">
        <f t="shared" si="106"/>
        <v>500</v>
      </c>
      <c r="O500" s="42"/>
      <c r="P500" s="43"/>
      <c r="Q500" s="43"/>
      <c r="R500" s="43"/>
      <c r="S500" s="44"/>
      <c r="T500" s="186"/>
    </row>
    <row r="501" spans="2:20" ht="15" x14ac:dyDescent="0.2">
      <c r="B501" s="32" t="str">
        <f t="shared" si="111"/>
        <v>חודשים</v>
      </c>
      <c r="C501" s="45" t="str">
        <f>'מק"ט'!$C$3&amp;VLOOKUP(G501,'מק"ט'!$D$2:$E$9,2,FALSE)&amp;VLOOKUP(E501,'מק"ט'!$F$2:$G$9,2,FALSE)&amp;D501</f>
        <v>76140710</v>
      </c>
      <c r="D501" s="52">
        <v>10</v>
      </c>
      <c r="E501" s="93" t="s">
        <v>137</v>
      </c>
      <c r="F501" s="103" t="s">
        <v>133</v>
      </c>
      <c r="G501" s="55" t="s">
        <v>24</v>
      </c>
      <c r="H501" s="55"/>
      <c r="I501" s="68"/>
      <c r="J501" s="68"/>
      <c r="K501" s="57"/>
      <c r="L501" s="227">
        <f t="shared" si="106"/>
        <v>500</v>
      </c>
      <c r="O501" s="42"/>
      <c r="P501" s="43"/>
      <c r="Q501" s="43"/>
      <c r="R501" s="43"/>
      <c r="S501" s="44"/>
      <c r="T501" s="186"/>
    </row>
    <row r="502" spans="2:20" ht="15" x14ac:dyDescent="0.2">
      <c r="B502" s="32" t="str">
        <f t="shared" si="111"/>
        <v>עונתי גלובלי</v>
      </c>
      <c r="C502" s="45" t="str">
        <f>'מק"ט'!$C$3&amp;VLOOKUP(G502,'מק"ט'!$D$2:$E$9,2,FALSE)&amp;VLOOKUP(E502,'מק"ט'!$F$2:$G$9,2,FALSE)&amp;D502</f>
        <v>76150710</v>
      </c>
      <c r="D502" s="52">
        <v>10</v>
      </c>
      <c r="E502" s="93" t="s">
        <v>137</v>
      </c>
      <c r="F502" s="103" t="s">
        <v>133</v>
      </c>
      <c r="G502" s="55" t="s">
        <v>23</v>
      </c>
      <c r="H502" s="55"/>
      <c r="I502" s="68"/>
      <c r="J502" s="68"/>
      <c r="K502" s="57"/>
      <c r="L502" s="227">
        <f t="shared" si="106"/>
        <v>500</v>
      </c>
      <c r="O502" s="42"/>
      <c r="P502" s="43"/>
      <c r="Q502" s="43"/>
      <c r="R502" s="43"/>
      <c r="S502" s="44"/>
      <c r="T502" s="186"/>
    </row>
    <row r="503" spans="2:20" ht="15" x14ac:dyDescent="0.2">
      <c r="B503" s="32" t="str">
        <f t="shared" ref="B503:B507" si="112">G503</f>
        <v>תכניות/פרקים</v>
      </c>
      <c r="C503" s="45" t="str">
        <f>'מק"ט'!$C$3&amp;VLOOKUP(G503,'מק"ט'!$D$2:$E$9,2,FALSE)&amp;VLOOKUP(E503,'מק"ט'!$F$2:$G$9,2,FALSE)&amp;D503</f>
        <v>76110723</v>
      </c>
      <c r="D503" s="52">
        <v>23</v>
      </c>
      <c r="E503" s="93" t="s">
        <v>137</v>
      </c>
      <c r="F503" s="103" t="s">
        <v>272</v>
      </c>
      <c r="G503" s="55" t="s">
        <v>25</v>
      </c>
      <c r="H503" s="55"/>
      <c r="I503" s="68"/>
      <c r="J503" s="68"/>
      <c r="K503" s="57"/>
      <c r="L503" s="227">
        <f t="shared" si="106"/>
        <v>505</v>
      </c>
      <c r="O503" s="42"/>
      <c r="P503" s="43"/>
      <c r="Q503" s="43"/>
      <c r="R503" s="43"/>
      <c r="S503" s="44"/>
      <c r="T503" s="186"/>
    </row>
    <row r="504" spans="2:20" ht="15" x14ac:dyDescent="0.2">
      <c r="B504" s="32" t="str">
        <f t="shared" si="112"/>
        <v>ימים</v>
      </c>
      <c r="C504" s="45" t="str">
        <f>'מק"ט'!$C$3&amp;VLOOKUP(G504,'מק"ט'!$D$2:$E$9,2,FALSE)&amp;VLOOKUP(E504,'מק"ט'!$F$2:$G$9,2,FALSE)&amp;D504</f>
        <v>76120723</v>
      </c>
      <c r="D504" s="52">
        <v>23</v>
      </c>
      <c r="E504" s="93" t="s">
        <v>137</v>
      </c>
      <c r="F504" s="103" t="s">
        <v>272</v>
      </c>
      <c r="G504" s="55" t="s">
        <v>21</v>
      </c>
      <c r="H504" s="55"/>
      <c r="I504" s="68"/>
      <c r="J504" s="68"/>
      <c r="K504" s="57"/>
      <c r="L504" s="227">
        <f t="shared" si="106"/>
        <v>505</v>
      </c>
      <c r="O504" s="42"/>
      <c r="P504" s="43"/>
      <c r="Q504" s="43"/>
      <c r="R504" s="43"/>
      <c r="S504" s="44"/>
      <c r="T504" s="186"/>
    </row>
    <row r="505" spans="2:20" ht="15" x14ac:dyDescent="0.2">
      <c r="B505" s="32" t="str">
        <f t="shared" si="112"/>
        <v>שבועות</v>
      </c>
      <c r="C505" s="45" t="str">
        <f>'מק"ט'!$C$3&amp;VLOOKUP(G505,'מק"ט'!$D$2:$E$9,2,FALSE)&amp;VLOOKUP(E505,'מק"ט'!$F$2:$G$9,2,FALSE)&amp;D505</f>
        <v>76130723</v>
      </c>
      <c r="D505" s="52">
        <v>23</v>
      </c>
      <c r="E505" s="93" t="s">
        <v>137</v>
      </c>
      <c r="F505" s="103" t="s">
        <v>272</v>
      </c>
      <c r="G505" s="55" t="s">
        <v>26</v>
      </c>
      <c r="H505" s="55"/>
      <c r="I505" s="68"/>
      <c r="J505" s="68"/>
      <c r="K505" s="57"/>
      <c r="L505" s="227">
        <f t="shared" si="106"/>
        <v>505</v>
      </c>
      <c r="O505" s="42"/>
      <c r="P505" s="43"/>
      <c r="Q505" s="43"/>
      <c r="R505" s="43"/>
      <c r="S505" s="44"/>
      <c r="T505" s="186"/>
    </row>
    <row r="506" spans="2:20" ht="15" x14ac:dyDescent="0.2">
      <c r="B506" s="32" t="str">
        <f t="shared" si="112"/>
        <v>חודשים</v>
      </c>
      <c r="C506" s="45" t="str">
        <f>'מק"ט'!$C$3&amp;VLOOKUP(G506,'מק"ט'!$D$2:$E$9,2,FALSE)&amp;VLOOKUP(E506,'מק"ט'!$F$2:$G$9,2,FALSE)&amp;D506</f>
        <v>76140723</v>
      </c>
      <c r="D506" s="52">
        <v>23</v>
      </c>
      <c r="E506" s="93" t="s">
        <v>137</v>
      </c>
      <c r="F506" s="103" t="s">
        <v>272</v>
      </c>
      <c r="G506" s="55" t="s">
        <v>24</v>
      </c>
      <c r="H506" s="55"/>
      <c r="I506" s="68"/>
      <c r="J506" s="68"/>
      <c r="K506" s="57"/>
      <c r="L506" s="227">
        <f t="shared" si="106"/>
        <v>505</v>
      </c>
      <c r="O506" s="42"/>
      <c r="P506" s="43"/>
      <c r="Q506" s="43"/>
      <c r="R506" s="43"/>
      <c r="S506" s="44"/>
      <c r="T506" s="186"/>
    </row>
    <row r="507" spans="2:20" ht="15" x14ac:dyDescent="0.2">
      <c r="B507" s="32" t="str">
        <f t="shared" si="112"/>
        <v>עונתי גלובלי</v>
      </c>
      <c r="C507" s="45" t="str">
        <f>'מק"ט'!$C$3&amp;VLOOKUP(G507,'מק"ט'!$D$2:$E$9,2,FALSE)&amp;VLOOKUP(E507,'מק"ט'!$F$2:$G$9,2,FALSE)&amp;D507</f>
        <v>76150723</v>
      </c>
      <c r="D507" s="52">
        <v>23</v>
      </c>
      <c r="E507" s="93" t="s">
        <v>137</v>
      </c>
      <c r="F507" s="103" t="s">
        <v>272</v>
      </c>
      <c r="G507" s="55" t="s">
        <v>23</v>
      </c>
      <c r="H507" s="55"/>
      <c r="I507" s="68"/>
      <c r="J507" s="68"/>
      <c r="K507" s="57"/>
      <c r="L507" s="227">
        <f t="shared" si="106"/>
        <v>505</v>
      </c>
      <c r="O507" s="42"/>
      <c r="P507" s="43"/>
      <c r="Q507" s="43"/>
      <c r="R507" s="43"/>
      <c r="S507" s="44"/>
      <c r="T507" s="186"/>
    </row>
    <row r="508" spans="2:20" ht="15" x14ac:dyDescent="0.2">
      <c r="B508" s="32" t="str">
        <f t="shared" si="108"/>
        <v>תכניות/פרקים</v>
      </c>
      <c r="C508" s="45" t="str">
        <f>'מק"ט'!$C$3&amp;VLOOKUP(G508,'מק"ט'!$D$2:$E$9,2,FALSE)&amp;VLOOKUP(E508,'מק"ט'!$F$2:$G$9,2,FALSE)&amp;D508</f>
        <v>76110711</v>
      </c>
      <c r="D508" s="62">
        <v>11</v>
      </c>
      <c r="E508" s="91" t="s">
        <v>137</v>
      </c>
      <c r="F508" s="104" t="s">
        <v>134</v>
      </c>
      <c r="G508" s="55" t="s">
        <v>25</v>
      </c>
      <c r="H508" s="49"/>
      <c r="I508" s="75"/>
      <c r="J508" s="75"/>
      <c r="K508" s="51" t="s">
        <v>179</v>
      </c>
      <c r="L508" s="227">
        <f t="shared" si="106"/>
        <v>510</v>
      </c>
      <c r="O508" s="42">
        <f>IFERROR(VLOOKUP(C508,תקציב!$D$22:$J$177,6,0),0)</f>
        <v>0</v>
      </c>
      <c r="P508" s="43">
        <f>IFERROR(VLOOKUP(C508,תקציב!$D$22:$J$177,5,0),0)</f>
        <v>0</v>
      </c>
      <c r="Q508" s="43">
        <f>IF(ISNUMBER(VLOOKUP(C508,תקציב!$D$22:$J$177,3,FALSE)),VLOOKUP(C508,תקציב!$D$22:$J$177,3,FALSE),1)</f>
        <v>1</v>
      </c>
      <c r="R508" s="43">
        <f t="shared" si="77"/>
        <v>0</v>
      </c>
      <c r="S508" s="44">
        <f t="shared" si="78"/>
        <v>0</v>
      </c>
      <c r="T508" s="186">
        <f>IFERROR(VLOOKUP(C508,תקציב!$D$22:$K$177,7,FALSE),0)-S508</f>
        <v>0</v>
      </c>
    </row>
    <row r="509" spans="2:20" ht="15" x14ac:dyDescent="0.2">
      <c r="B509" s="32" t="str">
        <f t="shared" si="108"/>
        <v>ימים</v>
      </c>
      <c r="C509" s="45" t="str">
        <f>'מק"ט'!$C$3&amp;VLOOKUP(G509,'מק"ט'!$D$2:$E$9,2,FALSE)&amp;VLOOKUP(E509,'מק"ט'!$F$2:$G$9,2,FALSE)&amp;D509</f>
        <v>76120711</v>
      </c>
      <c r="D509" s="62">
        <v>11</v>
      </c>
      <c r="E509" s="91" t="s">
        <v>137</v>
      </c>
      <c r="F509" s="104" t="s">
        <v>134</v>
      </c>
      <c r="G509" s="55" t="s">
        <v>21</v>
      </c>
      <c r="H509" s="49"/>
      <c r="I509" s="75"/>
      <c r="J509" s="75"/>
      <c r="K509" s="51"/>
      <c r="L509" s="227">
        <f t="shared" si="106"/>
        <v>510</v>
      </c>
      <c r="O509" s="42">
        <f>IFERROR(VLOOKUP(C509,תקציב!$D$22:$J$177,6,0),0)</f>
        <v>0</v>
      </c>
      <c r="P509" s="43">
        <f>IFERROR(VLOOKUP(C509,תקציב!$D$22:$J$177,5,0),0)</f>
        <v>0</v>
      </c>
      <c r="Q509" s="43">
        <f>IF(ISNUMBER(VLOOKUP(C509,תקציב!$D$22:$J$177,3,FALSE)),VLOOKUP(C509,תקציב!$D$22:$J$177,3,FALSE),1)</f>
        <v>1</v>
      </c>
      <c r="R509" s="43">
        <f t="shared" si="77"/>
        <v>0</v>
      </c>
      <c r="S509" s="44">
        <f t="shared" si="78"/>
        <v>0</v>
      </c>
      <c r="T509" s="186">
        <f>IFERROR(VLOOKUP(C509,תקציב!$D$22:$K$177,7,FALSE),0)-S509</f>
        <v>0</v>
      </c>
    </row>
    <row r="510" spans="2:20" ht="15" x14ac:dyDescent="0.2">
      <c r="B510" s="32" t="str">
        <f t="shared" ref="B510:B512" si="113">G510</f>
        <v>שבועות</v>
      </c>
      <c r="C510" s="45" t="str">
        <f>'מק"ט'!$C$3&amp;VLOOKUP(G510,'מק"ט'!$D$2:$E$9,2,FALSE)&amp;VLOOKUP(E510,'מק"ט'!$F$2:$G$9,2,FALSE)&amp;D510</f>
        <v>76130711</v>
      </c>
      <c r="D510" s="62">
        <v>11</v>
      </c>
      <c r="E510" s="91" t="s">
        <v>137</v>
      </c>
      <c r="F510" s="104" t="s">
        <v>134</v>
      </c>
      <c r="G510" s="55" t="s">
        <v>26</v>
      </c>
      <c r="H510" s="49"/>
      <c r="I510" s="75"/>
      <c r="J510" s="75"/>
      <c r="K510" s="51"/>
      <c r="L510" s="227">
        <f t="shared" si="106"/>
        <v>510</v>
      </c>
      <c r="O510" s="42"/>
      <c r="P510" s="43"/>
      <c r="Q510" s="43"/>
      <c r="R510" s="43"/>
      <c r="S510" s="44"/>
      <c r="T510" s="186"/>
    </row>
    <row r="511" spans="2:20" ht="15" x14ac:dyDescent="0.2">
      <c r="B511" s="32" t="str">
        <f t="shared" si="113"/>
        <v>חודשים</v>
      </c>
      <c r="C511" s="45" t="str">
        <f>'מק"ט'!$C$3&amp;VLOOKUP(G511,'מק"ט'!$D$2:$E$9,2,FALSE)&amp;VLOOKUP(E511,'מק"ט'!$F$2:$G$9,2,FALSE)&amp;D511</f>
        <v>76140711</v>
      </c>
      <c r="D511" s="62">
        <v>11</v>
      </c>
      <c r="E511" s="91" t="s">
        <v>137</v>
      </c>
      <c r="F511" s="104" t="s">
        <v>134</v>
      </c>
      <c r="G511" s="55" t="s">
        <v>24</v>
      </c>
      <c r="H511" s="49"/>
      <c r="I511" s="75"/>
      <c r="J511" s="75"/>
      <c r="K511" s="51"/>
      <c r="L511" s="227">
        <f t="shared" si="106"/>
        <v>510</v>
      </c>
      <c r="O511" s="42"/>
      <c r="P511" s="43"/>
      <c r="Q511" s="43"/>
      <c r="R511" s="43"/>
      <c r="S511" s="44"/>
      <c r="T511" s="186"/>
    </row>
    <row r="512" spans="2:20" ht="15" x14ac:dyDescent="0.2">
      <c r="B512" s="32" t="str">
        <f t="shared" si="113"/>
        <v>עונתי גלובלי</v>
      </c>
      <c r="C512" s="45" t="str">
        <f>'מק"ט'!$C$3&amp;VLOOKUP(G512,'מק"ט'!$D$2:$E$9,2,FALSE)&amp;VLOOKUP(E512,'מק"ט'!$F$2:$G$9,2,FALSE)&amp;D512</f>
        <v>76150711</v>
      </c>
      <c r="D512" s="62">
        <v>11</v>
      </c>
      <c r="E512" s="91" t="s">
        <v>137</v>
      </c>
      <c r="F512" s="104" t="s">
        <v>134</v>
      </c>
      <c r="G512" s="55" t="s">
        <v>23</v>
      </c>
      <c r="H512" s="49"/>
      <c r="I512" s="75"/>
      <c r="J512" s="75"/>
      <c r="K512" s="51"/>
      <c r="L512" s="227">
        <f t="shared" si="106"/>
        <v>510</v>
      </c>
      <c r="O512" s="42"/>
      <c r="P512" s="43"/>
      <c r="Q512" s="43"/>
      <c r="R512" s="43"/>
      <c r="S512" s="44"/>
      <c r="T512" s="186"/>
    </row>
    <row r="513" spans="2:20" ht="15" x14ac:dyDescent="0.2">
      <c r="B513" s="32" t="str">
        <f t="shared" si="108"/>
        <v>תכניות/פרקים</v>
      </c>
      <c r="C513" s="45" t="str">
        <f>'מק"ט'!$C$3&amp;VLOOKUP(G513,'מק"ט'!$D$2:$E$9,2,FALSE)&amp;VLOOKUP(E513,'מק"ט'!$F$2:$G$9,2,FALSE)&amp;D513</f>
        <v>76110717</v>
      </c>
      <c r="D513" s="52">
        <v>17</v>
      </c>
      <c r="E513" s="93" t="s">
        <v>137</v>
      </c>
      <c r="F513" s="103" t="s">
        <v>135</v>
      </c>
      <c r="G513" s="55" t="s">
        <v>25</v>
      </c>
      <c r="H513" s="55"/>
      <c r="I513" s="68"/>
      <c r="J513" s="107"/>
      <c r="K513" s="57" t="s">
        <v>21</v>
      </c>
      <c r="L513" s="227">
        <f t="shared" si="106"/>
        <v>515</v>
      </c>
      <c r="O513" s="42">
        <f>IFERROR(VLOOKUP(C513,תקציב!$D$22:$J$177,6,0),0)</f>
        <v>0</v>
      </c>
      <c r="P513" s="43">
        <f>IFERROR(VLOOKUP(C513,תקציב!$D$22:$J$177,5,0),0)</f>
        <v>0</v>
      </c>
      <c r="Q513" s="43">
        <f>IF(ISNUMBER(VLOOKUP(C513,תקציב!$D$22:$J$177,3,FALSE)),VLOOKUP(C513,תקציב!$D$22:$J$177,3,FALSE),1)</f>
        <v>1</v>
      </c>
      <c r="R513" s="43">
        <f t="shared" si="77"/>
        <v>0</v>
      </c>
      <c r="S513" s="44">
        <f t="shared" si="78"/>
        <v>0</v>
      </c>
      <c r="T513" s="186">
        <f>IFERROR(VLOOKUP(C513,תקציב!$D$22:$K$177,7,FALSE),0)-S513</f>
        <v>0</v>
      </c>
    </row>
    <row r="514" spans="2:20" ht="15" x14ac:dyDescent="0.2">
      <c r="B514" s="32" t="str">
        <f t="shared" ref="B514:B517" si="114">G514</f>
        <v>ימים</v>
      </c>
      <c r="C514" s="45" t="str">
        <f>'מק"ט'!$C$3&amp;VLOOKUP(G514,'מק"ט'!$D$2:$E$9,2,FALSE)&amp;VLOOKUP(E514,'מק"ט'!$F$2:$G$9,2,FALSE)&amp;D514</f>
        <v>76120717</v>
      </c>
      <c r="D514" s="52">
        <v>17</v>
      </c>
      <c r="E514" s="93" t="s">
        <v>137</v>
      </c>
      <c r="F514" s="103" t="s">
        <v>135</v>
      </c>
      <c r="G514" s="55" t="s">
        <v>21</v>
      </c>
      <c r="H514" s="55"/>
      <c r="I514" s="68"/>
      <c r="J514" s="107"/>
      <c r="K514" s="57"/>
      <c r="L514" s="227">
        <f t="shared" si="106"/>
        <v>515</v>
      </c>
      <c r="O514" s="42"/>
      <c r="P514" s="43"/>
      <c r="Q514" s="43"/>
      <c r="R514" s="43"/>
      <c r="S514" s="44"/>
      <c r="T514" s="186"/>
    </row>
    <row r="515" spans="2:20" ht="15" x14ac:dyDescent="0.2">
      <c r="B515" s="32" t="str">
        <f t="shared" si="114"/>
        <v>שבועות</v>
      </c>
      <c r="C515" s="45" t="str">
        <f>'מק"ט'!$C$3&amp;VLOOKUP(G515,'מק"ט'!$D$2:$E$9,2,FALSE)&amp;VLOOKUP(E515,'מק"ט'!$F$2:$G$9,2,FALSE)&amp;D515</f>
        <v>76130717</v>
      </c>
      <c r="D515" s="52">
        <v>17</v>
      </c>
      <c r="E515" s="93" t="s">
        <v>137</v>
      </c>
      <c r="F515" s="103" t="s">
        <v>135</v>
      </c>
      <c r="G515" s="55" t="s">
        <v>26</v>
      </c>
      <c r="H515" s="55"/>
      <c r="I515" s="68"/>
      <c r="J515" s="107"/>
      <c r="K515" s="57"/>
      <c r="L515" s="227">
        <f t="shared" si="106"/>
        <v>515</v>
      </c>
      <c r="O515" s="42"/>
      <c r="P515" s="43"/>
      <c r="Q515" s="43"/>
      <c r="R515" s="43"/>
      <c r="S515" s="44"/>
      <c r="T515" s="186"/>
    </row>
    <row r="516" spans="2:20" ht="15" x14ac:dyDescent="0.2">
      <c r="B516" s="32" t="str">
        <f t="shared" si="114"/>
        <v>חודשים</v>
      </c>
      <c r="C516" s="45" t="str">
        <f>'מק"ט'!$C$3&amp;VLOOKUP(G516,'מק"ט'!$D$2:$E$9,2,FALSE)&amp;VLOOKUP(E516,'מק"ט'!$F$2:$G$9,2,FALSE)&amp;D516</f>
        <v>76140717</v>
      </c>
      <c r="D516" s="52">
        <v>17</v>
      </c>
      <c r="E516" s="93" t="s">
        <v>137</v>
      </c>
      <c r="F516" s="103" t="s">
        <v>135</v>
      </c>
      <c r="G516" s="55" t="s">
        <v>24</v>
      </c>
      <c r="H516" s="55"/>
      <c r="I516" s="68"/>
      <c r="J516" s="107"/>
      <c r="K516" s="57"/>
      <c r="L516" s="227">
        <f t="shared" si="106"/>
        <v>515</v>
      </c>
      <c r="O516" s="42"/>
      <c r="P516" s="43"/>
      <c r="Q516" s="43"/>
      <c r="R516" s="43"/>
      <c r="S516" s="44"/>
      <c r="T516" s="186"/>
    </row>
    <row r="517" spans="2:20" ht="15" x14ac:dyDescent="0.2">
      <c r="B517" s="32" t="str">
        <f t="shared" si="114"/>
        <v>עונתי גלובלי</v>
      </c>
      <c r="C517" s="45" t="str">
        <f>'מק"ט'!$C$3&amp;VLOOKUP(G517,'מק"ט'!$D$2:$E$9,2,FALSE)&amp;VLOOKUP(E517,'מק"ט'!$F$2:$G$9,2,FALSE)&amp;D517</f>
        <v>76150717</v>
      </c>
      <c r="D517" s="52">
        <v>17</v>
      </c>
      <c r="E517" s="93" t="s">
        <v>137</v>
      </c>
      <c r="F517" s="103" t="s">
        <v>135</v>
      </c>
      <c r="G517" s="55" t="s">
        <v>23</v>
      </c>
      <c r="H517" s="55"/>
      <c r="I517" s="68"/>
      <c r="J517" s="107"/>
      <c r="K517" s="57"/>
      <c r="L517" s="227">
        <f t="shared" si="106"/>
        <v>515</v>
      </c>
      <c r="O517" s="42"/>
      <c r="P517" s="43"/>
      <c r="Q517" s="43"/>
      <c r="R517" s="43"/>
      <c r="S517" s="44"/>
      <c r="T517" s="186"/>
    </row>
    <row r="518" spans="2:20" ht="15" x14ac:dyDescent="0.2">
      <c r="B518" s="32" t="str">
        <f t="shared" si="108"/>
        <v>תכניות/פרקים</v>
      </c>
      <c r="C518" s="45" t="str">
        <f>'מק"ט'!$C$3&amp;VLOOKUP(G518,'מק"ט'!$D$2:$E$9,2,FALSE)&amp;VLOOKUP(E518,'מק"ט'!$F$2:$G$9,2,FALSE)&amp;D518</f>
        <v>76110712</v>
      </c>
      <c r="D518" s="62">
        <v>12</v>
      </c>
      <c r="E518" s="91" t="s">
        <v>137</v>
      </c>
      <c r="F518" s="104" t="s">
        <v>181</v>
      </c>
      <c r="G518" s="55" t="s">
        <v>25</v>
      </c>
      <c r="H518" s="49"/>
      <c r="I518" s="75"/>
      <c r="J518" s="75"/>
      <c r="K518" s="51" t="s">
        <v>176</v>
      </c>
      <c r="L518" s="227">
        <f t="shared" si="106"/>
        <v>520</v>
      </c>
      <c r="O518" s="42">
        <f>IFERROR(VLOOKUP(C518,תקציב!$D$22:$J$177,6,0),0)</f>
        <v>0</v>
      </c>
      <c r="P518" s="43">
        <f>IFERROR(VLOOKUP(C518,תקציב!$D$22:$J$177,5,0),0)</f>
        <v>0</v>
      </c>
      <c r="Q518" s="43">
        <f>IF(ISNUMBER(VLOOKUP(C518,תקציב!$D$22:$J$177,3,FALSE)),VLOOKUP(C518,תקציב!$D$22:$J$177,3,FALSE),1)</f>
        <v>1</v>
      </c>
      <c r="R518" s="43">
        <f t="shared" si="77"/>
        <v>0</v>
      </c>
      <c r="S518" s="44">
        <f t="shared" si="78"/>
        <v>0</v>
      </c>
      <c r="T518" s="186">
        <f>IFERROR(VLOOKUP(C518,תקציב!$D$22:$K$177,7,FALSE),0)-S518</f>
        <v>0</v>
      </c>
    </row>
    <row r="519" spans="2:20" ht="15" x14ac:dyDescent="0.2">
      <c r="B519" s="32" t="str">
        <f t="shared" ref="B519:B522" si="115">G519</f>
        <v>ימים</v>
      </c>
      <c r="C519" s="45" t="str">
        <f>'מק"ט'!$C$3&amp;VLOOKUP(G519,'מק"ט'!$D$2:$E$9,2,FALSE)&amp;VLOOKUP(E519,'מק"ט'!$F$2:$G$9,2,FALSE)&amp;D519</f>
        <v>76120713</v>
      </c>
      <c r="D519" s="62">
        <v>13</v>
      </c>
      <c r="E519" s="91" t="s">
        <v>137</v>
      </c>
      <c r="F519" s="104" t="s">
        <v>181</v>
      </c>
      <c r="G519" s="55" t="s">
        <v>21</v>
      </c>
      <c r="H519" s="49"/>
      <c r="I519" s="75"/>
      <c r="J519" s="75"/>
      <c r="K519" s="51"/>
      <c r="L519" s="227">
        <f t="shared" si="106"/>
        <v>520</v>
      </c>
      <c r="O519" s="42"/>
      <c r="P519" s="43"/>
      <c r="Q519" s="43"/>
      <c r="R519" s="43"/>
      <c r="S519" s="44"/>
      <c r="T519" s="186"/>
    </row>
    <row r="520" spans="2:20" ht="15" x14ac:dyDescent="0.2">
      <c r="B520" s="32" t="str">
        <f t="shared" si="115"/>
        <v>שבועות</v>
      </c>
      <c r="C520" s="45" t="str">
        <f>'מק"ט'!$C$3&amp;VLOOKUP(G520,'מק"ט'!$D$2:$E$9,2,FALSE)&amp;VLOOKUP(E520,'מק"ט'!$F$2:$G$9,2,FALSE)&amp;D520</f>
        <v>76130714</v>
      </c>
      <c r="D520" s="62">
        <v>14</v>
      </c>
      <c r="E520" s="91" t="s">
        <v>137</v>
      </c>
      <c r="F520" s="104" t="s">
        <v>181</v>
      </c>
      <c r="G520" s="55" t="s">
        <v>26</v>
      </c>
      <c r="H520" s="49"/>
      <c r="I520" s="75"/>
      <c r="J520" s="75"/>
      <c r="K520" s="51"/>
      <c r="L520" s="227">
        <f t="shared" si="106"/>
        <v>520</v>
      </c>
      <c r="O520" s="42"/>
      <c r="P520" s="43"/>
      <c r="Q520" s="43"/>
      <c r="R520" s="43"/>
      <c r="S520" s="44"/>
      <c r="T520" s="186"/>
    </row>
    <row r="521" spans="2:20" ht="15" x14ac:dyDescent="0.2">
      <c r="B521" s="32" t="str">
        <f t="shared" si="115"/>
        <v>חודשים</v>
      </c>
      <c r="C521" s="45" t="str">
        <f>'מק"ט'!$C$3&amp;VLOOKUP(G521,'מק"ט'!$D$2:$E$9,2,FALSE)&amp;VLOOKUP(E521,'מק"ט'!$F$2:$G$9,2,FALSE)&amp;D521</f>
        <v>76140715</v>
      </c>
      <c r="D521" s="62">
        <v>15</v>
      </c>
      <c r="E521" s="91" t="s">
        <v>137</v>
      </c>
      <c r="F521" s="104" t="s">
        <v>181</v>
      </c>
      <c r="G521" s="55" t="s">
        <v>24</v>
      </c>
      <c r="H521" s="49"/>
      <c r="I521" s="75"/>
      <c r="J521" s="75"/>
      <c r="K521" s="51"/>
      <c r="L521" s="227">
        <f t="shared" si="106"/>
        <v>520</v>
      </c>
      <c r="O521" s="42">
        <f>IFERROR(VLOOKUP(C521,תקציב!$D$22:$J$177,6,0),0)</f>
        <v>0</v>
      </c>
      <c r="P521" s="43">
        <f>IFERROR(VLOOKUP(C521,תקציב!$D$22:$J$177,5,0),0)</f>
        <v>0</v>
      </c>
      <c r="Q521" s="43">
        <f>IF(ISNUMBER(VLOOKUP(C521,תקציב!$D$22:$J$177,3,FALSE)),VLOOKUP(C521,תקציב!$D$22:$J$177,3,FALSE),1)</f>
        <v>1</v>
      </c>
      <c r="R521" s="43">
        <f t="shared" si="77"/>
        <v>0</v>
      </c>
      <c r="S521" s="44">
        <f t="shared" si="78"/>
        <v>0</v>
      </c>
      <c r="T521" s="186">
        <f>IFERROR(VLOOKUP(C521,תקציב!$D$22:$K$177,7,FALSE),0)-S521</f>
        <v>0</v>
      </c>
    </row>
    <row r="522" spans="2:20" ht="15.75" thickBot="1" x14ac:dyDescent="0.25">
      <c r="B522" s="32" t="str">
        <f t="shared" si="115"/>
        <v>עונתי גלובלי</v>
      </c>
      <c r="C522" s="45" t="str">
        <f>'מק"ט'!$C$3&amp;VLOOKUP(G522,'מק"ט'!$D$2:$E$9,2,FALSE)&amp;VLOOKUP(E522,'מק"ט'!$F$2:$G$9,2,FALSE)&amp;D522</f>
        <v>76150716</v>
      </c>
      <c r="D522" s="62">
        <v>16</v>
      </c>
      <c r="E522" s="91" t="s">
        <v>137</v>
      </c>
      <c r="F522" s="104" t="s">
        <v>181</v>
      </c>
      <c r="G522" s="55" t="s">
        <v>23</v>
      </c>
      <c r="H522" s="49"/>
      <c r="I522" s="75"/>
      <c r="J522" s="75"/>
      <c r="K522" s="51"/>
      <c r="L522" s="227">
        <f t="shared" si="106"/>
        <v>520</v>
      </c>
      <c r="O522" s="42">
        <f>IFERROR(VLOOKUP(C522,תקציב!$D$22:$J$177,6,0),0)</f>
        <v>0</v>
      </c>
      <c r="P522" s="43">
        <f>IFERROR(VLOOKUP(C522,תקציב!$D$22:$J$177,5,0),0)</f>
        <v>0</v>
      </c>
      <c r="Q522" s="43">
        <f>IF(ISNUMBER(VLOOKUP(C522,תקציב!$D$22:$J$177,3,FALSE)),VLOOKUP(C522,תקציב!$D$22:$J$177,3,FALSE),1)</f>
        <v>1</v>
      </c>
      <c r="R522" s="43">
        <f t="shared" si="77"/>
        <v>0</v>
      </c>
      <c r="S522" s="44">
        <f t="shared" si="78"/>
        <v>0</v>
      </c>
      <c r="T522" s="186">
        <f>IFERROR(VLOOKUP(C522,תקציב!$D$22:$K$177,7,FALSE),0)-S522</f>
        <v>0</v>
      </c>
    </row>
    <row r="523" spans="2:20" ht="15" x14ac:dyDescent="0.2">
      <c r="B523" s="32" t="str">
        <f t="shared" si="108"/>
        <v>חודשים</v>
      </c>
      <c r="C523" s="36" t="str">
        <f>'מק"ט'!$C$3&amp;VLOOKUP(G523,'מק"ט'!$D$2:$E$9,2,FALSE)&amp;VLOOKUP(E523,'מק"ט'!$F$2:$G$9,2,FALSE)&amp;D523</f>
        <v>76140800</v>
      </c>
      <c r="D523" s="97" t="s">
        <v>174</v>
      </c>
      <c r="E523" s="98" t="s">
        <v>182</v>
      </c>
      <c r="F523" s="108" t="s">
        <v>140</v>
      </c>
      <c r="G523" s="100" t="s">
        <v>24</v>
      </c>
      <c r="H523" s="100"/>
      <c r="I523" s="100"/>
      <c r="J523" s="100">
        <v>0</v>
      </c>
      <c r="K523" s="102"/>
      <c r="L523" s="227">
        <f t="shared" si="106"/>
        <v>525</v>
      </c>
      <c r="O523" s="42">
        <f>IFERROR(VLOOKUP(C523,תקציב!$D$22:$J$177,6,0),0)</f>
        <v>0</v>
      </c>
      <c r="P523" s="43">
        <f>IFERROR(VLOOKUP(C523,תקציב!$D$22:$J$177,5,0),0)</f>
        <v>0</v>
      </c>
      <c r="Q523" s="43">
        <f>IF(ISNUMBER(VLOOKUP(C523,תקציב!$D$22:$J$177,3,FALSE)),VLOOKUP(C523,תקציב!$D$22:$J$177,3,FALSE),1)</f>
        <v>1</v>
      </c>
      <c r="R523" s="43">
        <f t="shared" si="77"/>
        <v>0</v>
      </c>
      <c r="S523" s="44">
        <f t="shared" si="78"/>
        <v>0</v>
      </c>
      <c r="T523" s="186">
        <f>IFERROR(VLOOKUP(C523,תקציב!$D$22:$K$177,7,FALSE),0)-S523</f>
        <v>0</v>
      </c>
    </row>
    <row r="524" spans="2:20" ht="15" x14ac:dyDescent="0.2">
      <c r="B524" s="32" t="str">
        <f t="shared" si="108"/>
        <v>עונתי גלובלי</v>
      </c>
      <c r="C524" s="45" t="str">
        <f>'מק"ט'!$C$3&amp;VLOOKUP(G524,'מק"ט'!$D$2:$E$9,2,FALSE)&amp;VLOOKUP(E524,'מק"ט'!$F$2:$G$9,2,FALSE)&amp;D524</f>
        <v>76150800</v>
      </c>
      <c r="D524" s="76" t="s">
        <v>174</v>
      </c>
      <c r="E524" s="93" t="s">
        <v>182</v>
      </c>
      <c r="F524" s="109" t="s">
        <v>140</v>
      </c>
      <c r="G524" s="55" t="s">
        <v>23</v>
      </c>
      <c r="H524" s="55"/>
      <c r="I524" s="55"/>
      <c r="J524" s="55">
        <v>0</v>
      </c>
      <c r="K524" s="57"/>
      <c r="L524" s="227">
        <f t="shared" si="106"/>
        <v>525</v>
      </c>
      <c r="O524" s="42">
        <f>IFERROR(VLOOKUP(C524,תקציב!$D$22:$J$177,6,0),0)</f>
        <v>0</v>
      </c>
      <c r="P524" s="43">
        <f>IFERROR(VLOOKUP(C524,תקציב!$D$22:$J$177,5,0),0)</f>
        <v>0</v>
      </c>
      <c r="Q524" s="43">
        <f>IF(ISNUMBER(VLOOKUP(C524,תקציב!$D$22:$J$177,3,FALSE)),VLOOKUP(C524,תקציב!$D$22:$J$177,3,FALSE),1)</f>
        <v>1</v>
      </c>
      <c r="R524" s="43">
        <f t="shared" si="77"/>
        <v>0</v>
      </c>
      <c r="S524" s="44">
        <f t="shared" si="78"/>
        <v>0</v>
      </c>
      <c r="T524" s="186">
        <f>IFERROR(VLOOKUP(C524,תקציב!$D$22:$K$177,7,FALSE),0)-S524</f>
        <v>0</v>
      </c>
    </row>
    <row r="525" spans="2:20" ht="15" x14ac:dyDescent="0.2">
      <c r="B525" s="32" t="str">
        <f t="shared" si="108"/>
        <v>חודשים</v>
      </c>
      <c r="C525" s="45" t="str">
        <f>'מק"ט'!$C$3&amp;VLOOKUP(G525,'מק"ט'!$D$2:$E$9,2,FALSE)&amp;VLOOKUP(E525,'מק"ט'!$F$2:$G$9,2,FALSE)&amp;D525</f>
        <v>76140801</v>
      </c>
      <c r="D525" s="46" t="s">
        <v>167</v>
      </c>
      <c r="E525" s="91" t="s">
        <v>182</v>
      </c>
      <c r="F525" s="110" t="s">
        <v>141</v>
      </c>
      <c r="G525" s="49" t="s">
        <v>24</v>
      </c>
      <c r="H525" s="49"/>
      <c r="I525" s="49"/>
      <c r="J525" s="49">
        <v>0</v>
      </c>
      <c r="K525" s="51"/>
      <c r="L525" s="227">
        <f t="shared" si="106"/>
        <v>530</v>
      </c>
      <c r="O525" s="42">
        <f>IFERROR(VLOOKUP(C525,תקציב!$D$22:$J$177,6,0),0)</f>
        <v>0</v>
      </c>
      <c r="P525" s="43">
        <f>IFERROR(VLOOKUP(C525,תקציב!$D$22:$J$177,5,0),0)</f>
        <v>0</v>
      </c>
      <c r="Q525" s="43">
        <f>IF(ISNUMBER(VLOOKUP(C525,תקציב!$D$22:$J$177,3,FALSE)),VLOOKUP(C525,תקציב!$D$22:$J$177,3,FALSE),1)</f>
        <v>1</v>
      </c>
      <c r="R525" s="43">
        <f t="shared" si="77"/>
        <v>0</v>
      </c>
      <c r="S525" s="44">
        <f t="shared" si="78"/>
        <v>0</v>
      </c>
      <c r="T525" s="186">
        <f>IFERROR(VLOOKUP(C525,תקציב!$D$22:$K$177,7,FALSE),0)-S525</f>
        <v>0</v>
      </c>
    </row>
    <row r="526" spans="2:20" ht="15" x14ac:dyDescent="0.2">
      <c r="B526" s="32" t="str">
        <f t="shared" si="108"/>
        <v>עונתי גלובלי</v>
      </c>
      <c r="C526" s="45" t="str">
        <f>'מק"ט'!$C$3&amp;VLOOKUP(G526,'מק"ט'!$D$2:$E$9,2,FALSE)&amp;VLOOKUP(E526,'מק"ט'!$F$2:$G$9,2,FALSE)&amp;D526</f>
        <v>76150801</v>
      </c>
      <c r="D526" s="46" t="s">
        <v>167</v>
      </c>
      <c r="E526" s="91" t="s">
        <v>182</v>
      </c>
      <c r="F526" s="110" t="s">
        <v>141</v>
      </c>
      <c r="G526" s="49" t="s">
        <v>23</v>
      </c>
      <c r="H526" s="49"/>
      <c r="I526" s="49"/>
      <c r="J526" s="49">
        <v>0</v>
      </c>
      <c r="K526" s="51"/>
      <c r="L526" s="227">
        <f t="shared" si="106"/>
        <v>530</v>
      </c>
      <c r="O526" s="42">
        <f>IFERROR(VLOOKUP(C526,תקציב!$D$22:$J$177,6,0),0)</f>
        <v>0</v>
      </c>
      <c r="P526" s="43">
        <f>IFERROR(VLOOKUP(C526,תקציב!$D$22:$J$177,5,0),0)</f>
        <v>0</v>
      </c>
      <c r="Q526" s="43">
        <f>IF(ISNUMBER(VLOOKUP(C526,תקציב!$D$22:$J$177,3,FALSE)),VLOOKUP(C526,תקציב!$D$22:$J$177,3,FALSE),1)</f>
        <v>1</v>
      </c>
      <c r="R526" s="43">
        <f t="shared" si="77"/>
        <v>0</v>
      </c>
      <c r="S526" s="44">
        <f t="shared" si="78"/>
        <v>0</v>
      </c>
      <c r="T526" s="186">
        <f>IFERROR(VLOOKUP(C526,תקציב!$D$22:$K$177,7,FALSE),0)-S526</f>
        <v>0</v>
      </c>
    </row>
    <row r="527" spans="2:20" ht="15" x14ac:dyDescent="0.2">
      <c r="B527" s="32" t="str">
        <f t="shared" si="108"/>
        <v>חודשים</v>
      </c>
      <c r="C527" s="45" t="str">
        <f>'מק"ט'!$C$3&amp;VLOOKUP(G527,'מק"ט'!$D$2:$E$9,2,FALSE)&amp;VLOOKUP(E527,'מק"ט'!$F$2:$G$9,2,FALSE)&amp;D527</f>
        <v>76140802</v>
      </c>
      <c r="D527" s="76" t="s">
        <v>163</v>
      </c>
      <c r="E527" s="93" t="s">
        <v>182</v>
      </c>
      <c r="F527" s="109" t="s">
        <v>142</v>
      </c>
      <c r="G527" s="55" t="s">
        <v>24</v>
      </c>
      <c r="H527" s="55"/>
      <c r="I527" s="55"/>
      <c r="J527" s="55">
        <v>0</v>
      </c>
      <c r="K527" s="57"/>
      <c r="L527" s="227">
        <f t="shared" si="106"/>
        <v>535</v>
      </c>
      <c r="O527" s="42">
        <f>IFERROR(VLOOKUP(C527,תקציב!$D$22:$J$177,6,0),0)</f>
        <v>0</v>
      </c>
      <c r="P527" s="43">
        <f>IFERROR(VLOOKUP(C527,תקציב!$D$22:$J$177,5,0),0)</f>
        <v>0</v>
      </c>
      <c r="Q527" s="43">
        <f>IF(ISNUMBER(VLOOKUP(C527,תקציב!$D$22:$J$177,3,FALSE)),VLOOKUP(C527,תקציב!$D$22:$J$177,3,FALSE),1)</f>
        <v>1</v>
      </c>
      <c r="R527" s="43">
        <f t="shared" si="77"/>
        <v>0</v>
      </c>
      <c r="S527" s="44">
        <f t="shared" si="78"/>
        <v>0</v>
      </c>
      <c r="T527" s="186">
        <f>IFERROR(VLOOKUP(C527,תקציב!$D$22:$K$177,7,FALSE),0)-S527</f>
        <v>0</v>
      </c>
    </row>
    <row r="528" spans="2:20" ht="15" x14ac:dyDescent="0.2">
      <c r="B528" s="32" t="str">
        <f t="shared" si="108"/>
        <v>עונתי גלובלי</v>
      </c>
      <c r="C528" s="45" t="str">
        <f>'מק"ט'!$C$3&amp;VLOOKUP(G528,'מק"ט'!$D$2:$E$9,2,FALSE)&amp;VLOOKUP(E528,'מק"ט'!$F$2:$G$9,2,FALSE)&amp;D528</f>
        <v>76150802</v>
      </c>
      <c r="D528" s="76" t="s">
        <v>163</v>
      </c>
      <c r="E528" s="93" t="s">
        <v>182</v>
      </c>
      <c r="F528" s="109" t="s">
        <v>142</v>
      </c>
      <c r="G528" s="55" t="s">
        <v>23</v>
      </c>
      <c r="H528" s="55"/>
      <c r="I528" s="55"/>
      <c r="J528" s="55">
        <v>0</v>
      </c>
      <c r="K528" s="57"/>
      <c r="L528" s="227">
        <f t="shared" si="106"/>
        <v>535</v>
      </c>
      <c r="O528" s="42">
        <f>IFERROR(VLOOKUP(C528,תקציב!$D$22:$J$177,6,0),0)</f>
        <v>0</v>
      </c>
      <c r="P528" s="43">
        <f>IFERROR(VLOOKUP(C528,תקציב!$D$22:$J$177,5,0),0)</f>
        <v>0</v>
      </c>
      <c r="Q528" s="43">
        <f>IF(ISNUMBER(VLOOKUP(C528,תקציב!$D$22:$J$177,3,FALSE)),VLOOKUP(C528,תקציב!$D$22:$J$177,3,FALSE),1)</f>
        <v>1</v>
      </c>
      <c r="R528" s="43">
        <f t="shared" si="77"/>
        <v>0</v>
      </c>
      <c r="S528" s="44">
        <f t="shared" si="78"/>
        <v>0</v>
      </c>
      <c r="T528" s="186">
        <f>IFERROR(VLOOKUP(C528,תקציב!$D$22:$K$177,7,FALSE),0)-S528</f>
        <v>0</v>
      </c>
    </row>
    <row r="529" spans="2:20" ht="15" x14ac:dyDescent="0.2">
      <c r="B529" s="32" t="str">
        <f t="shared" si="108"/>
        <v>חודשים</v>
      </c>
      <c r="C529" s="45" t="str">
        <f>'מק"ט'!$C$3&amp;VLOOKUP(G529,'מק"ט'!$D$2:$E$9,2,FALSE)&amp;VLOOKUP(E529,'מק"ט'!$F$2:$G$9,2,FALSE)&amp;D529</f>
        <v>76140803</v>
      </c>
      <c r="D529" s="46" t="s">
        <v>164</v>
      </c>
      <c r="E529" s="91" t="s">
        <v>182</v>
      </c>
      <c r="F529" s="110" t="s">
        <v>143</v>
      </c>
      <c r="G529" s="49" t="s">
        <v>24</v>
      </c>
      <c r="H529" s="49"/>
      <c r="I529" s="49" t="s">
        <v>183</v>
      </c>
      <c r="J529" s="49">
        <v>0</v>
      </c>
      <c r="K529" s="51"/>
      <c r="L529" s="227">
        <f t="shared" si="106"/>
        <v>540</v>
      </c>
      <c r="O529" s="42">
        <f>IFERROR(VLOOKUP(C529,תקציב!$D$22:$J$177,6,0),0)</f>
        <v>0</v>
      </c>
      <c r="P529" s="43">
        <f>IFERROR(VLOOKUP(C529,תקציב!$D$22:$J$177,5,0),0)</f>
        <v>0</v>
      </c>
      <c r="Q529" s="43">
        <f>IF(ISNUMBER(VLOOKUP(C529,תקציב!$D$22:$J$177,3,FALSE)),VLOOKUP(C529,תקציב!$D$22:$J$177,3,FALSE),1)</f>
        <v>1</v>
      </c>
      <c r="R529" s="43">
        <f t="shared" si="77"/>
        <v>0</v>
      </c>
      <c r="S529" s="44">
        <f t="shared" si="78"/>
        <v>0</v>
      </c>
      <c r="T529" s="186">
        <f>IFERROR(VLOOKUP(C529,תקציב!$D$22:$K$177,7,FALSE),0)-S529</f>
        <v>0</v>
      </c>
    </row>
    <row r="530" spans="2:20" ht="15" x14ac:dyDescent="0.2">
      <c r="B530" s="32" t="str">
        <f t="shared" ref="B530:B534" si="116">G530</f>
        <v>עונתי גלובלי</v>
      </c>
      <c r="C530" s="45" t="str">
        <f>'מק"ט'!$C$3&amp;VLOOKUP(G530,'מק"ט'!$D$2:$E$9,2,FALSE)&amp;VLOOKUP(E530,'מק"ט'!$F$2:$G$9,2,FALSE)&amp;D530</f>
        <v>76150803</v>
      </c>
      <c r="D530" s="46" t="s">
        <v>164</v>
      </c>
      <c r="E530" s="91" t="s">
        <v>182</v>
      </c>
      <c r="F530" s="110" t="s">
        <v>143</v>
      </c>
      <c r="G530" s="49" t="s">
        <v>23</v>
      </c>
      <c r="H530" s="49"/>
      <c r="I530" s="49"/>
      <c r="J530" s="49"/>
      <c r="K530" s="51"/>
      <c r="L530" s="227">
        <f t="shared" si="106"/>
        <v>540</v>
      </c>
      <c r="O530" s="42"/>
      <c r="P530" s="43"/>
      <c r="Q530" s="43"/>
      <c r="R530" s="43"/>
      <c r="S530" s="44"/>
      <c r="T530" s="186"/>
    </row>
    <row r="531" spans="2:20" ht="15" x14ac:dyDescent="0.2">
      <c r="B531" s="32" t="str">
        <f t="shared" si="116"/>
        <v>חודשים</v>
      </c>
      <c r="C531" s="45" t="str">
        <f>'מק"ט'!$C$3&amp;VLOOKUP(G531,'מק"ט'!$D$2:$E$9,2,FALSE)&amp;VLOOKUP(E531,'מק"ט'!$F$2:$G$9,2,FALSE)&amp;D531</f>
        <v>76140804</v>
      </c>
      <c r="D531" s="76" t="s">
        <v>165</v>
      </c>
      <c r="E531" s="91" t="s">
        <v>182</v>
      </c>
      <c r="F531" s="79" t="s">
        <v>144</v>
      </c>
      <c r="G531" s="49" t="s">
        <v>24</v>
      </c>
      <c r="H531" s="55"/>
      <c r="I531" s="55"/>
      <c r="J531" s="55">
        <v>0</v>
      </c>
      <c r="K531" s="57"/>
      <c r="L531" s="227">
        <f t="shared" si="106"/>
        <v>545</v>
      </c>
      <c r="O531" s="42">
        <f>IFERROR(VLOOKUP(C531,תקציב!$D$22:$J$177,6,0),0)</f>
        <v>0</v>
      </c>
      <c r="P531" s="43">
        <f>IFERROR(VLOOKUP(C531,תקציב!$D$22:$J$177,5,0),0)</f>
        <v>0</v>
      </c>
      <c r="Q531" s="43">
        <f>IF(ISNUMBER(VLOOKUP(C531,תקציב!$D$22:$J$177,3,FALSE)),VLOOKUP(C531,תקציב!$D$22:$J$177,3,FALSE),1)</f>
        <v>1</v>
      </c>
      <c r="R531" s="43">
        <f t="shared" si="77"/>
        <v>0</v>
      </c>
      <c r="S531" s="44">
        <f t="shared" si="78"/>
        <v>0</v>
      </c>
      <c r="T531" s="186">
        <f>IFERROR(VLOOKUP(C531,תקציב!$D$22:$K$177,7,FALSE),0)-S531</f>
        <v>0</v>
      </c>
    </row>
    <row r="532" spans="2:20" ht="15" x14ac:dyDescent="0.2">
      <c r="B532" s="32" t="str">
        <f t="shared" si="116"/>
        <v>עונתי גלובלי</v>
      </c>
      <c r="C532" s="45" t="str">
        <f>'מק"ט'!$C$3&amp;VLOOKUP(G532,'מק"ט'!$D$2:$E$9,2,FALSE)&amp;VLOOKUP(E532,'מק"ט'!$F$2:$G$9,2,FALSE)&amp;D532</f>
        <v>76150804</v>
      </c>
      <c r="D532" s="76" t="s">
        <v>165</v>
      </c>
      <c r="E532" s="91" t="s">
        <v>182</v>
      </c>
      <c r="F532" s="79" t="s">
        <v>144</v>
      </c>
      <c r="G532" s="49" t="s">
        <v>23</v>
      </c>
      <c r="H532" s="55"/>
      <c r="I532" s="55"/>
      <c r="J532" s="55"/>
      <c r="K532" s="57"/>
      <c r="L532" s="227">
        <f t="shared" si="106"/>
        <v>545</v>
      </c>
      <c r="O532" s="42"/>
      <c r="P532" s="43"/>
      <c r="Q532" s="43"/>
      <c r="R532" s="43"/>
      <c r="S532" s="44"/>
      <c r="T532" s="186"/>
    </row>
    <row r="533" spans="2:20" ht="15" x14ac:dyDescent="0.2">
      <c r="B533" s="32" t="str">
        <f t="shared" si="116"/>
        <v>חודשים</v>
      </c>
      <c r="C533" s="45" t="str">
        <f>'מק"ט'!$C$3&amp;VLOOKUP(G533,'מק"ט'!$D$2:$E$9,2,FALSE)&amp;VLOOKUP(E533,'מק"ט'!$F$2:$G$9,2,FALSE)&amp;D533</f>
        <v>76140805</v>
      </c>
      <c r="D533" s="46" t="s">
        <v>169</v>
      </c>
      <c r="E533" s="91" t="s">
        <v>182</v>
      </c>
      <c r="F533" s="80" t="s">
        <v>184</v>
      </c>
      <c r="G533" s="49" t="s">
        <v>24</v>
      </c>
      <c r="H533" s="49"/>
      <c r="I533" s="49"/>
      <c r="J533" s="49">
        <v>0</v>
      </c>
      <c r="K533" s="51"/>
      <c r="L533" s="227">
        <f t="shared" si="106"/>
        <v>550</v>
      </c>
      <c r="O533" s="42">
        <f>IFERROR(VLOOKUP(C533,תקציב!$D$22:$J$177,6,0),0)</f>
        <v>0</v>
      </c>
      <c r="P533" s="43">
        <f>IFERROR(VLOOKUP(C533,תקציב!$D$22:$J$177,5,0),0)</f>
        <v>0</v>
      </c>
      <c r="Q533" s="43">
        <f>IF(ISNUMBER(VLOOKUP(C533,תקציב!$D$22:$J$177,3,FALSE)),VLOOKUP(C533,תקציב!$D$22:$J$177,3,FALSE),1)</f>
        <v>1</v>
      </c>
      <c r="R533" s="43">
        <f>IFERROR((P533*Q533),0)</f>
        <v>0</v>
      </c>
      <c r="S533" s="44">
        <f>O533*R533</f>
        <v>0</v>
      </c>
      <c r="T533" s="186">
        <f>IFERROR(VLOOKUP(C533,תקציב!$D$22:$K$177,7,FALSE),0)-S533</f>
        <v>0</v>
      </c>
    </row>
    <row r="534" spans="2:20" ht="15.75" thickBot="1" x14ac:dyDescent="0.25">
      <c r="B534" s="32" t="str">
        <f t="shared" si="116"/>
        <v>עונתי גלובלי</v>
      </c>
      <c r="C534" s="45" t="str">
        <f>'מק"ט'!$C$3&amp;VLOOKUP(G534,'מק"ט'!$D$2:$E$9,2,FALSE)&amp;VLOOKUP(E534,'מק"ט'!$F$2:$G$9,2,FALSE)&amp;D534</f>
        <v>76150805</v>
      </c>
      <c r="D534" s="46" t="s">
        <v>169</v>
      </c>
      <c r="E534" s="91" t="s">
        <v>182</v>
      </c>
      <c r="F534" s="80" t="s">
        <v>184</v>
      </c>
      <c r="G534" s="49" t="s">
        <v>23</v>
      </c>
      <c r="H534" s="49"/>
      <c r="I534" s="49"/>
      <c r="J534" s="49"/>
      <c r="K534" s="51"/>
      <c r="L534" s="227">
        <f t="shared" si="106"/>
        <v>550</v>
      </c>
      <c r="O534" s="42"/>
      <c r="P534" s="43"/>
      <c r="Q534" s="43"/>
      <c r="R534" s="43"/>
      <c r="S534" s="44"/>
      <c r="T534" s="186"/>
    </row>
    <row r="535" spans="2:20" ht="15.75" thickBot="1" x14ac:dyDescent="0.25">
      <c r="B535" s="32" t="str">
        <f t="shared" si="108"/>
        <v>עונתי גלובלי</v>
      </c>
      <c r="C535" s="206" t="str">
        <f>'מק"ט'!$C$3&amp;VLOOKUP(G535,'מק"ט'!$D$2:$E$10,2,FALSE)&amp;VLOOKUP(E535,'מק"ט'!$F$2:$G$10,2,FALSE)&amp;D535</f>
        <v>76150900</v>
      </c>
      <c r="D535" s="114" t="s">
        <v>174</v>
      </c>
      <c r="E535" s="115" t="s">
        <v>29</v>
      </c>
      <c r="F535" s="116" t="s">
        <v>29</v>
      </c>
      <c r="G535" s="117" t="s">
        <v>23</v>
      </c>
      <c r="H535" s="116"/>
      <c r="I535" s="116"/>
      <c r="J535" s="116"/>
      <c r="K535" s="118"/>
      <c r="L535" s="227">
        <f t="shared" si="106"/>
        <v>555</v>
      </c>
      <c r="O535" s="42">
        <f>IFERROR(VLOOKUP(C535,תקציב!$D$22:$J$177,6,0),0)</f>
        <v>0</v>
      </c>
      <c r="P535" s="43">
        <f>IFERROR(VLOOKUP(C535,תקציב!$D$22:$J$177,5,0),0)</f>
        <v>0</v>
      </c>
      <c r="Q535" s="43">
        <f>IF(ISNUMBER(VLOOKUP(C535,תקציב!$D$22:$J$177,3,FALSE)),VLOOKUP(C535,תקציב!$D$22:$J$177,3,FALSE),1)</f>
        <v>1</v>
      </c>
      <c r="R535" s="43">
        <f t="shared" ref="R535" si="117">IFERROR((P535*Q535),0)</f>
        <v>0</v>
      </c>
      <c r="S535" s="44">
        <f>תקציב!K167</f>
        <v>0</v>
      </c>
      <c r="T535" s="186">
        <f>IFERROR(VLOOKUP(C535,תקציב!$D$22:$K$177,7,FALSE),0)-S535</f>
        <v>0</v>
      </c>
    </row>
    <row r="536" spans="2:20" ht="15" thickBot="1" x14ac:dyDescent="0.25">
      <c r="O536" s="42"/>
      <c r="P536" s="43"/>
      <c r="Q536" s="43"/>
      <c r="R536" s="43"/>
      <c r="S536" s="44"/>
    </row>
    <row r="537" spans="2:20" ht="15" thickBot="1" x14ac:dyDescent="0.25">
      <c r="N537" s="123" t="s">
        <v>185</v>
      </c>
      <c r="O537" s="123">
        <f>SUM(O2:O536)</f>
        <v>0</v>
      </c>
      <c r="P537" s="124">
        <f>SUM(P2:P536)</f>
        <v>0</v>
      </c>
      <c r="Q537" s="124">
        <f>SUM(Q2:Q536)</f>
        <v>168</v>
      </c>
      <c r="R537" s="207">
        <f>SUM(R2:R536)</f>
        <v>0</v>
      </c>
      <c r="S537" s="184">
        <f>SUM(S2:S536)</f>
        <v>0</v>
      </c>
      <c r="T537" s="186"/>
    </row>
    <row r="538" spans="2:20" ht="15" thickBot="1" x14ac:dyDescent="0.25">
      <c r="N538" s="32" t="s">
        <v>186</v>
      </c>
      <c r="S538" s="185">
        <f>S537-תקציב!K177</f>
        <v>0</v>
      </c>
    </row>
  </sheetData>
  <sheetProtection password="CC15" sheet="1" objects="1" scenarios="1"/>
  <protectedRanges>
    <protectedRange sqref="F2:F6" name="טווח1_3"/>
    <protectedRange sqref="F523:F534" name="טווח1_12"/>
    <protectedRange sqref="G535" name="טווח1_1"/>
    <protectedRange sqref="F7:F66" name="טווח1_16"/>
    <protectedRange sqref="F67:F121 F127:F176 F207:F286" name="טווח1_18"/>
    <protectedRange sqref="F287:F321" name="טווח1_20"/>
    <protectedRange sqref="F177:F206 F348:F417" name="טווח1_21"/>
    <protectedRange sqref="F418:F522" name="טווח1_23"/>
    <protectedRange sqref="F322:F347" name="טווח1_20_1"/>
  </protectedRange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0000000}">
          <x14:formula1>
            <xm:f>הגדרות!$U$2:$U$3</xm:f>
          </x14:formula1>
          <xm:sqref>G523:G534</xm:sqref>
        </x14:dataValidation>
        <x14:dataValidation type="list" allowBlank="1" showInputMessage="1" showErrorMessage="1" prompt="בחר מהרשימה" xr:uid="{00000000-0002-0000-0400-000001000000}">
          <x14:formula1>
            <xm:f>הגדרות!$G$2</xm:f>
          </x14:formula1>
          <xm:sqref>G535</xm:sqref>
        </x14:dataValidation>
        <x14:dataValidation type="list" allowBlank="1" showInputMessage="1" showErrorMessage="1" xr:uid="{00000000-0002-0000-0400-000002000000}">
          <x14:formula1>
            <xm:f>הגדרות!$G$2</xm:f>
          </x14:formula1>
          <xm:sqref>G322</xm:sqref>
        </x14:dataValidation>
        <x14:dataValidation type="list" allowBlank="1" showInputMessage="1" showErrorMessage="1" xr:uid="{00000000-0002-0000-0400-000003000000}">
          <x14:formula1>
            <xm:f>הגדרות!$AJ$2:$AJ$6</xm:f>
          </x14:formula1>
          <xm:sqref>G2:G321 G323:G522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176"/>
  <sheetViews>
    <sheetView rightToLeft="1" topLeftCell="A20" zoomScaleNormal="100" workbookViewId="0">
      <selection activeCell="D45" sqref="D45"/>
    </sheetView>
  </sheetViews>
  <sheetFormatPr defaultColWidth="9.125" defaultRowHeight="12.75" x14ac:dyDescent="0.2"/>
  <cols>
    <col min="1" max="1" width="9.125" style="134"/>
    <col min="2" max="3" width="16.75" style="134" customWidth="1"/>
    <col min="4" max="4" width="17.875" style="134" customWidth="1"/>
    <col min="5" max="7" width="16.75" style="134" customWidth="1"/>
    <col min="8" max="8" width="27.125" style="134" customWidth="1"/>
    <col min="9" max="9" width="9.125" style="225"/>
    <col min="10" max="16384" width="9.125" style="134"/>
  </cols>
  <sheetData>
    <row r="1" spans="2:10" s="131" customFormat="1" ht="41.25" customHeight="1" x14ac:dyDescent="0.2">
      <c r="B1" s="129" t="s">
        <v>190</v>
      </c>
      <c r="C1" s="129" t="s">
        <v>191</v>
      </c>
      <c r="D1" s="129" t="s">
        <v>192</v>
      </c>
      <c r="E1" s="129" t="s">
        <v>193</v>
      </c>
      <c r="F1" s="129" t="s">
        <v>194</v>
      </c>
      <c r="G1" s="129" t="s">
        <v>195</v>
      </c>
      <c r="H1" s="130" t="s">
        <v>196</v>
      </c>
      <c r="I1" s="130" t="s">
        <v>197</v>
      </c>
      <c r="J1" s="130" t="s">
        <v>473</v>
      </c>
    </row>
    <row r="2" spans="2:10" x14ac:dyDescent="0.2">
      <c r="B2" s="132" t="s">
        <v>488</v>
      </c>
      <c r="C2" s="132">
        <v>77</v>
      </c>
      <c r="D2" s="132" t="s">
        <v>25</v>
      </c>
      <c r="E2" s="132">
        <v>11</v>
      </c>
      <c r="F2" s="132" t="s">
        <v>162</v>
      </c>
      <c r="G2" s="218" t="str">
        <f>TEXT(1,"00")</f>
        <v>01</v>
      </c>
      <c r="H2" s="133" t="s">
        <v>198</v>
      </c>
      <c r="I2" s="219" t="s">
        <v>274</v>
      </c>
      <c r="J2" s="133" t="s">
        <v>45</v>
      </c>
    </row>
    <row r="3" spans="2:10" x14ac:dyDescent="0.2">
      <c r="B3" s="135" t="s">
        <v>199</v>
      </c>
      <c r="C3" s="135">
        <v>76</v>
      </c>
      <c r="D3" s="135" t="s">
        <v>21</v>
      </c>
      <c r="E3" s="135">
        <v>12</v>
      </c>
      <c r="F3" s="135" t="s">
        <v>200</v>
      </c>
      <c r="G3" s="220" t="str">
        <f>TEXT(2,"00")</f>
        <v>02</v>
      </c>
      <c r="H3" s="133" t="s">
        <v>16</v>
      </c>
      <c r="I3" s="219" t="s">
        <v>275</v>
      </c>
      <c r="J3" s="133" t="s">
        <v>47</v>
      </c>
    </row>
    <row r="4" spans="2:10" x14ac:dyDescent="0.2">
      <c r="B4" s="135" t="s">
        <v>202</v>
      </c>
      <c r="C4" s="135">
        <v>74</v>
      </c>
      <c r="D4" s="136" t="s">
        <v>26</v>
      </c>
      <c r="E4" s="136">
        <v>13</v>
      </c>
      <c r="F4" s="136" t="s">
        <v>168</v>
      </c>
      <c r="G4" s="221" t="str">
        <f>TEXT(3,"00")</f>
        <v>03</v>
      </c>
      <c r="H4" s="133" t="s">
        <v>71</v>
      </c>
      <c r="I4" s="219" t="s">
        <v>276</v>
      </c>
      <c r="J4" s="133" t="s">
        <v>47</v>
      </c>
    </row>
    <row r="5" spans="2:10" x14ac:dyDescent="0.2">
      <c r="B5" s="133" t="s">
        <v>478</v>
      </c>
      <c r="C5" s="133">
        <v>70</v>
      </c>
      <c r="D5" s="135" t="s">
        <v>24</v>
      </c>
      <c r="E5" s="135">
        <v>14</v>
      </c>
      <c r="F5" s="135" t="s">
        <v>171</v>
      </c>
      <c r="G5" s="222" t="str">
        <f>TEXT(4,"00")</f>
        <v>04</v>
      </c>
      <c r="H5" s="133" t="s">
        <v>72</v>
      </c>
      <c r="I5" s="219" t="s">
        <v>277</v>
      </c>
      <c r="J5" s="133" t="s">
        <v>47</v>
      </c>
    </row>
    <row r="6" spans="2:10" x14ac:dyDescent="0.2">
      <c r="B6" s="133" t="s">
        <v>201</v>
      </c>
      <c r="C6" s="133">
        <v>75</v>
      </c>
      <c r="D6" s="136" t="s">
        <v>23</v>
      </c>
      <c r="E6" s="136">
        <v>15</v>
      </c>
      <c r="F6" s="136" t="s">
        <v>173</v>
      </c>
      <c r="G6" s="221" t="str">
        <f>TEXT(5,"00")</f>
        <v>05</v>
      </c>
      <c r="H6" s="133" t="s">
        <v>73</v>
      </c>
      <c r="I6" s="219" t="s">
        <v>279</v>
      </c>
      <c r="J6" s="133" t="s">
        <v>47</v>
      </c>
    </row>
    <row r="7" spans="2:10" x14ac:dyDescent="0.2">
      <c r="B7" s="133" t="s">
        <v>278</v>
      </c>
      <c r="C7" s="133">
        <v>73</v>
      </c>
      <c r="D7" s="135" t="s">
        <v>236</v>
      </c>
      <c r="E7" s="135">
        <v>15</v>
      </c>
      <c r="F7" s="135" t="s">
        <v>117</v>
      </c>
      <c r="G7" s="222" t="str">
        <f>TEXT(6,"00")</f>
        <v>06</v>
      </c>
      <c r="H7" s="133" t="s">
        <v>203</v>
      </c>
      <c r="I7" s="219" t="s">
        <v>281</v>
      </c>
      <c r="J7" s="133" t="s">
        <v>47</v>
      </c>
    </row>
    <row r="8" spans="2:10" x14ac:dyDescent="0.2">
      <c r="B8" s="133" t="s">
        <v>280</v>
      </c>
      <c r="C8" s="133">
        <v>72</v>
      </c>
      <c r="D8" s="136"/>
      <c r="E8" s="136"/>
      <c r="F8" s="136" t="s">
        <v>137</v>
      </c>
      <c r="G8" s="221" t="str">
        <f>TEXT(7,"00")</f>
        <v>07</v>
      </c>
      <c r="H8" s="133" t="s">
        <v>204</v>
      </c>
      <c r="I8" s="219" t="s">
        <v>283</v>
      </c>
      <c r="J8" s="133" t="s">
        <v>47</v>
      </c>
    </row>
    <row r="9" spans="2:10" x14ac:dyDescent="0.2">
      <c r="B9" s="133" t="s">
        <v>282</v>
      </c>
      <c r="C9" s="133">
        <v>71</v>
      </c>
      <c r="D9" s="137"/>
      <c r="E9" s="137"/>
      <c r="F9" s="137" t="s">
        <v>182</v>
      </c>
      <c r="G9" s="223" t="str">
        <f>TEXT(8,"00")</f>
        <v>08</v>
      </c>
      <c r="H9" s="133" t="s">
        <v>205</v>
      </c>
      <c r="I9" s="219" t="s">
        <v>284</v>
      </c>
      <c r="J9" s="133" t="s">
        <v>47</v>
      </c>
    </row>
    <row r="10" spans="2:10" x14ac:dyDescent="0.2">
      <c r="B10" s="133"/>
      <c r="C10" s="133"/>
      <c r="D10" s="135"/>
      <c r="E10" s="135"/>
      <c r="F10" s="138" t="s">
        <v>29</v>
      </c>
      <c r="G10" s="222" t="str">
        <f>TEXT(9,"00")</f>
        <v>09</v>
      </c>
      <c r="H10" s="133" t="s">
        <v>13</v>
      </c>
      <c r="I10" s="219" t="s">
        <v>285</v>
      </c>
      <c r="J10" s="133" t="s">
        <v>45</v>
      </c>
    </row>
    <row r="11" spans="2:10" x14ac:dyDescent="0.2">
      <c r="B11" s="133"/>
      <c r="C11" s="133"/>
      <c r="D11" s="133"/>
      <c r="E11" s="133"/>
      <c r="F11" s="139" t="s">
        <v>286</v>
      </c>
      <c r="G11" s="222" t="str">
        <f>TEXT(10,"00")</f>
        <v>10</v>
      </c>
      <c r="H11" s="133" t="s">
        <v>479</v>
      </c>
      <c r="I11" s="219" t="s">
        <v>287</v>
      </c>
      <c r="J11" s="133" t="s">
        <v>47</v>
      </c>
    </row>
    <row r="12" spans="2:10" x14ac:dyDescent="0.2">
      <c r="B12" s="133"/>
      <c r="C12" s="133"/>
      <c r="D12" s="133"/>
      <c r="E12" s="133"/>
      <c r="F12" s="139" t="s">
        <v>499</v>
      </c>
      <c r="G12" s="325">
        <v>11</v>
      </c>
      <c r="H12" s="133" t="s">
        <v>76</v>
      </c>
      <c r="I12" s="219" t="s">
        <v>288</v>
      </c>
      <c r="J12" s="133" t="s">
        <v>47</v>
      </c>
    </row>
    <row r="13" spans="2:10" x14ac:dyDescent="0.2">
      <c r="B13" s="133"/>
      <c r="C13" s="133"/>
      <c r="D13" s="133"/>
      <c r="E13" s="133"/>
      <c r="F13" s="139"/>
      <c r="G13" s="133"/>
      <c r="H13" s="133" t="s">
        <v>480</v>
      </c>
      <c r="I13" s="219" t="s">
        <v>289</v>
      </c>
      <c r="J13" s="133" t="s">
        <v>47</v>
      </c>
    </row>
    <row r="14" spans="2:10" x14ac:dyDescent="0.2">
      <c r="B14" s="133"/>
      <c r="C14" s="133"/>
      <c r="D14" s="133"/>
      <c r="E14" s="133"/>
      <c r="F14" s="139"/>
      <c r="G14" s="133"/>
      <c r="H14" s="133" t="s">
        <v>74</v>
      </c>
      <c r="I14" s="219" t="s">
        <v>290</v>
      </c>
      <c r="J14" s="133" t="s">
        <v>47</v>
      </c>
    </row>
    <row r="15" spans="2:10" x14ac:dyDescent="0.2">
      <c r="B15" s="133"/>
      <c r="C15" s="133"/>
      <c r="D15" s="133"/>
      <c r="E15" s="133"/>
      <c r="F15" s="139"/>
      <c r="G15" s="133"/>
      <c r="H15" s="133" t="s">
        <v>75</v>
      </c>
      <c r="I15" s="219" t="s">
        <v>291</v>
      </c>
      <c r="J15" s="133" t="s">
        <v>47</v>
      </c>
    </row>
    <row r="16" spans="2:10" x14ac:dyDescent="0.2">
      <c r="B16" s="133"/>
      <c r="C16" s="133"/>
      <c r="D16" s="133"/>
      <c r="E16" s="133"/>
      <c r="F16" s="139"/>
      <c r="G16" s="133"/>
      <c r="H16" s="133" t="s">
        <v>481</v>
      </c>
      <c r="I16" s="219" t="s">
        <v>292</v>
      </c>
      <c r="J16" s="133" t="s">
        <v>47</v>
      </c>
    </row>
    <row r="17" spans="2:10" x14ac:dyDescent="0.2">
      <c r="B17" s="133"/>
      <c r="C17" s="133"/>
      <c r="D17" s="133"/>
      <c r="E17" s="133"/>
      <c r="F17" s="139"/>
      <c r="G17" s="133"/>
      <c r="H17" s="133" t="s">
        <v>262</v>
      </c>
      <c r="I17" s="219" t="s">
        <v>293</v>
      </c>
      <c r="J17" s="133" t="s">
        <v>47</v>
      </c>
    </row>
    <row r="18" spans="2:10" x14ac:dyDescent="0.2">
      <c r="B18" s="133"/>
      <c r="C18" s="133"/>
      <c r="D18" s="133"/>
      <c r="E18" s="133"/>
      <c r="F18" s="133"/>
      <c r="G18" s="133"/>
      <c r="H18" s="133" t="s">
        <v>206</v>
      </c>
      <c r="I18" s="219" t="s">
        <v>294</v>
      </c>
      <c r="J18" s="133" t="s">
        <v>47</v>
      </c>
    </row>
    <row r="19" spans="2:10" x14ac:dyDescent="0.2">
      <c r="B19" s="133"/>
      <c r="C19" s="133"/>
      <c r="D19" s="133"/>
      <c r="E19" s="133"/>
      <c r="F19" s="133"/>
      <c r="G19" s="133"/>
      <c r="H19" s="133" t="s">
        <v>207</v>
      </c>
      <c r="I19" s="219" t="s">
        <v>295</v>
      </c>
      <c r="J19" s="133" t="s">
        <v>47</v>
      </c>
    </row>
    <row r="20" spans="2:10" x14ac:dyDescent="0.2">
      <c r="B20" s="133"/>
      <c r="C20" s="133"/>
      <c r="D20" s="133"/>
      <c r="E20" s="133"/>
      <c r="F20" s="133"/>
      <c r="G20" s="133"/>
      <c r="H20" s="133" t="s">
        <v>208</v>
      </c>
      <c r="I20" s="219" t="s">
        <v>296</v>
      </c>
      <c r="J20" s="133" t="s">
        <v>47</v>
      </c>
    </row>
    <row r="21" spans="2:10" x14ac:dyDescent="0.2">
      <c r="B21" s="133"/>
      <c r="C21" s="133"/>
      <c r="D21" s="133"/>
      <c r="E21" s="133"/>
      <c r="F21" s="133"/>
      <c r="G21" s="133"/>
      <c r="H21" s="133" t="s">
        <v>209</v>
      </c>
      <c r="I21" s="219" t="s">
        <v>297</v>
      </c>
      <c r="J21" s="133" t="s">
        <v>47</v>
      </c>
    </row>
    <row r="22" spans="2:10" x14ac:dyDescent="0.2">
      <c r="B22" s="133"/>
      <c r="C22" s="133"/>
      <c r="D22" s="133"/>
      <c r="E22" s="133"/>
      <c r="F22" s="133"/>
      <c r="G22" s="133"/>
      <c r="H22" s="133" t="s">
        <v>210</v>
      </c>
      <c r="I22" s="219" t="s">
        <v>298</v>
      </c>
      <c r="J22" s="133" t="s">
        <v>45</v>
      </c>
    </row>
    <row r="23" spans="2:10" x14ac:dyDescent="0.2">
      <c r="B23" s="133"/>
      <c r="C23" s="133"/>
      <c r="D23" s="133"/>
      <c r="E23" s="133"/>
      <c r="F23" s="133"/>
      <c r="G23" s="133"/>
      <c r="H23" s="133" t="s">
        <v>258</v>
      </c>
      <c r="I23" s="219" t="s">
        <v>299</v>
      </c>
      <c r="J23" s="133" t="s">
        <v>47</v>
      </c>
    </row>
    <row r="24" spans="2:10" x14ac:dyDescent="0.2">
      <c r="B24" s="133"/>
      <c r="C24" s="133"/>
      <c r="D24" s="133"/>
      <c r="E24" s="133"/>
      <c r="F24" s="133"/>
      <c r="G24" s="133"/>
      <c r="H24" s="133" t="s">
        <v>245</v>
      </c>
      <c r="I24" s="219" t="s">
        <v>300</v>
      </c>
      <c r="J24" s="133" t="s">
        <v>47</v>
      </c>
    </row>
    <row r="25" spans="2:10" x14ac:dyDescent="0.2">
      <c r="B25" s="133"/>
      <c r="C25" s="133"/>
      <c r="D25" s="133"/>
      <c r="E25" s="133"/>
      <c r="F25" s="133"/>
      <c r="G25" s="133"/>
      <c r="H25" s="133" t="s">
        <v>254</v>
      </c>
      <c r="I25" s="219" t="s">
        <v>301</v>
      </c>
      <c r="J25" s="133" t="s">
        <v>47</v>
      </c>
    </row>
    <row r="26" spans="2:10" x14ac:dyDescent="0.2">
      <c r="B26" s="133"/>
      <c r="C26" s="133"/>
      <c r="D26" s="133"/>
      <c r="E26" s="133"/>
      <c r="F26" s="133"/>
      <c r="G26" s="133"/>
      <c r="H26" s="133" t="s">
        <v>255</v>
      </c>
      <c r="I26" s="219" t="s">
        <v>302</v>
      </c>
      <c r="J26" s="133" t="s">
        <v>47</v>
      </c>
    </row>
    <row r="27" spans="2:10" x14ac:dyDescent="0.2">
      <c r="B27" s="133"/>
      <c r="C27" s="133"/>
      <c r="D27" s="133"/>
      <c r="E27" s="133"/>
      <c r="F27" s="133"/>
      <c r="G27" s="133"/>
      <c r="H27" s="133" t="s">
        <v>256</v>
      </c>
      <c r="I27" s="219" t="s">
        <v>303</v>
      </c>
      <c r="J27" s="133" t="s">
        <v>45</v>
      </c>
    </row>
    <row r="28" spans="2:10" x14ac:dyDescent="0.2">
      <c r="B28" s="133"/>
      <c r="C28" s="133"/>
      <c r="D28" s="133"/>
      <c r="E28" s="133"/>
      <c r="F28" s="133"/>
      <c r="G28" s="133"/>
      <c r="H28" s="133" t="s">
        <v>257</v>
      </c>
      <c r="I28" s="219" t="s">
        <v>304</v>
      </c>
      <c r="J28" s="133" t="s">
        <v>45</v>
      </c>
    </row>
    <row r="29" spans="2:10" x14ac:dyDescent="0.2">
      <c r="B29" s="133"/>
      <c r="C29" s="133"/>
      <c r="D29" s="133"/>
      <c r="E29" s="133"/>
      <c r="F29" s="133"/>
      <c r="G29" s="133"/>
      <c r="H29" s="133" t="s">
        <v>305</v>
      </c>
      <c r="I29" s="219" t="s">
        <v>306</v>
      </c>
      <c r="J29" s="133" t="s">
        <v>47</v>
      </c>
    </row>
    <row r="30" spans="2:10" x14ac:dyDescent="0.2">
      <c r="B30" s="133"/>
      <c r="C30" s="133"/>
      <c r="D30" s="133"/>
      <c r="E30" s="133"/>
      <c r="F30" s="133"/>
      <c r="G30" s="133"/>
      <c r="H30" s="133" t="s">
        <v>307</v>
      </c>
      <c r="I30" s="219" t="s">
        <v>308</v>
      </c>
      <c r="J30" s="133" t="s">
        <v>47</v>
      </c>
    </row>
    <row r="31" spans="2:10" x14ac:dyDescent="0.2">
      <c r="B31" s="133"/>
      <c r="C31" s="133"/>
      <c r="D31" s="133"/>
      <c r="E31" s="133"/>
      <c r="F31" s="133"/>
      <c r="G31" s="133"/>
      <c r="H31" s="133" t="s">
        <v>309</v>
      </c>
      <c r="I31" s="219" t="s">
        <v>310</v>
      </c>
      <c r="J31" s="133" t="s">
        <v>47</v>
      </c>
    </row>
    <row r="32" spans="2:10" x14ac:dyDescent="0.2">
      <c r="B32" s="133"/>
      <c r="C32" s="133"/>
      <c r="D32" s="133"/>
      <c r="E32" s="133"/>
      <c r="F32" s="133"/>
      <c r="G32" s="133"/>
      <c r="H32" s="133" t="s">
        <v>311</v>
      </c>
      <c r="I32" s="219" t="s">
        <v>312</v>
      </c>
      <c r="J32" s="133" t="s">
        <v>47</v>
      </c>
    </row>
    <row r="33" spans="2:21" x14ac:dyDescent="0.2">
      <c r="B33" s="133"/>
      <c r="C33" s="133"/>
      <c r="D33" s="133"/>
      <c r="E33" s="133"/>
      <c r="F33" s="133"/>
      <c r="G33" s="133"/>
      <c r="H33" s="133" t="s">
        <v>313</v>
      </c>
      <c r="I33" s="219" t="s">
        <v>314</v>
      </c>
      <c r="J33" s="133" t="s">
        <v>45</v>
      </c>
    </row>
    <row r="34" spans="2:21" x14ac:dyDescent="0.2">
      <c r="B34" s="133"/>
      <c r="C34" s="133"/>
      <c r="D34" s="133"/>
      <c r="E34" s="133"/>
      <c r="F34" s="133"/>
      <c r="G34" s="133"/>
      <c r="H34" s="133" t="s">
        <v>211</v>
      </c>
      <c r="I34" s="219" t="s">
        <v>315</v>
      </c>
      <c r="J34" s="133" t="s">
        <v>47</v>
      </c>
    </row>
    <row r="35" spans="2:21" x14ac:dyDescent="0.2">
      <c r="B35" s="133"/>
      <c r="C35" s="133"/>
      <c r="D35" s="133"/>
      <c r="E35" s="133"/>
      <c r="F35" s="133"/>
      <c r="G35" s="133"/>
      <c r="H35" s="133" t="s">
        <v>80</v>
      </c>
      <c r="I35" s="219" t="s">
        <v>316</v>
      </c>
      <c r="J35" s="133" t="s">
        <v>47</v>
      </c>
    </row>
    <row r="36" spans="2:21" x14ac:dyDescent="0.2">
      <c r="B36" s="133"/>
      <c r="C36" s="133"/>
      <c r="D36" s="133"/>
      <c r="E36" s="133"/>
      <c r="F36" s="133"/>
      <c r="G36" s="133"/>
      <c r="H36" s="133" t="s">
        <v>81</v>
      </c>
      <c r="I36" s="219" t="s">
        <v>317</v>
      </c>
      <c r="J36" s="133" t="s">
        <v>47</v>
      </c>
    </row>
    <row r="37" spans="2:21" x14ac:dyDescent="0.2">
      <c r="B37" s="133"/>
      <c r="C37" s="133"/>
      <c r="D37" s="133"/>
      <c r="E37" s="133"/>
      <c r="F37" s="133"/>
      <c r="G37" s="133"/>
      <c r="H37" s="133" t="s">
        <v>82</v>
      </c>
      <c r="I37" s="219" t="s">
        <v>318</v>
      </c>
      <c r="J37" s="133" t="s">
        <v>47</v>
      </c>
    </row>
    <row r="38" spans="2:21" x14ac:dyDescent="0.2">
      <c r="B38" s="133"/>
      <c r="C38" s="133"/>
      <c r="D38" s="133"/>
      <c r="E38" s="133"/>
      <c r="F38" s="133"/>
      <c r="G38" s="133"/>
      <c r="H38" s="133" t="s">
        <v>83</v>
      </c>
      <c r="I38" s="219" t="s">
        <v>319</v>
      </c>
      <c r="J38" s="133" t="s">
        <v>47</v>
      </c>
    </row>
    <row r="39" spans="2:21" x14ac:dyDescent="0.2">
      <c r="B39" s="133"/>
      <c r="C39" s="133"/>
      <c r="D39" s="133"/>
      <c r="E39" s="133"/>
      <c r="F39" s="133"/>
      <c r="G39" s="133"/>
      <c r="H39" s="133" t="s">
        <v>10</v>
      </c>
      <c r="I39" s="219" t="s">
        <v>320</v>
      </c>
      <c r="J39" s="133" t="s">
        <v>45</v>
      </c>
    </row>
    <row r="40" spans="2:21" x14ac:dyDescent="0.2">
      <c r="B40" s="133"/>
      <c r="C40" s="133"/>
      <c r="D40" s="133"/>
      <c r="E40" s="133"/>
      <c r="F40" s="133"/>
      <c r="G40" s="133"/>
      <c r="H40" s="133" t="s">
        <v>19</v>
      </c>
      <c r="I40" s="219" t="s">
        <v>321</v>
      </c>
      <c r="J40" s="133" t="s">
        <v>45</v>
      </c>
    </row>
    <row r="41" spans="2:21" x14ac:dyDescent="0.2">
      <c r="B41" s="133"/>
      <c r="C41" s="133"/>
      <c r="D41" s="133"/>
      <c r="E41" s="133"/>
      <c r="F41" s="133"/>
      <c r="G41" s="133"/>
      <c r="H41" s="133" t="s">
        <v>512</v>
      </c>
      <c r="I41" s="219" t="s">
        <v>322</v>
      </c>
      <c r="J41" s="133" t="s">
        <v>47</v>
      </c>
    </row>
    <row r="42" spans="2:21" x14ac:dyDescent="0.2">
      <c r="B42" s="133"/>
      <c r="C42" s="133"/>
      <c r="D42" s="133"/>
      <c r="E42" s="133"/>
      <c r="F42" s="133"/>
      <c r="G42" s="133"/>
      <c r="H42" s="133" t="s">
        <v>513</v>
      </c>
      <c r="I42" s="219" t="s">
        <v>323</v>
      </c>
      <c r="J42" s="133" t="s">
        <v>47</v>
      </c>
    </row>
    <row r="43" spans="2:21" x14ac:dyDescent="0.2">
      <c r="B43" s="133"/>
      <c r="C43" s="133"/>
      <c r="D43" s="133"/>
      <c r="E43" s="133"/>
      <c r="F43" s="133"/>
      <c r="G43" s="133"/>
      <c r="H43" s="133" t="s">
        <v>514</v>
      </c>
      <c r="I43" s="219" t="s">
        <v>324</v>
      </c>
      <c r="J43" s="133" t="s">
        <v>47</v>
      </c>
    </row>
    <row r="44" spans="2:21" x14ac:dyDescent="0.2">
      <c r="B44" s="133"/>
      <c r="C44" s="133"/>
      <c r="D44" s="133"/>
      <c r="E44" s="133"/>
      <c r="F44" s="133"/>
      <c r="G44" s="133"/>
      <c r="H44" s="133" t="s">
        <v>515</v>
      </c>
      <c r="I44" s="219" t="s">
        <v>325</v>
      </c>
      <c r="J44" s="133" t="s">
        <v>47</v>
      </c>
    </row>
    <row r="45" spans="2:21" x14ac:dyDescent="0.2">
      <c r="B45" s="133"/>
      <c r="C45" s="133"/>
      <c r="D45" s="133"/>
      <c r="E45" s="133"/>
      <c r="F45" s="133"/>
      <c r="G45" s="133"/>
      <c r="H45" s="133" t="s">
        <v>86</v>
      </c>
      <c r="I45" s="219" t="s">
        <v>326</v>
      </c>
      <c r="J45" s="133" t="s">
        <v>47</v>
      </c>
      <c r="T45" s="32"/>
      <c r="U45" s="140"/>
    </row>
    <row r="46" spans="2:21" x14ac:dyDescent="0.2">
      <c r="B46" s="133"/>
      <c r="C46" s="133"/>
      <c r="D46" s="133"/>
      <c r="E46" s="133"/>
      <c r="F46" s="133"/>
      <c r="G46" s="133"/>
      <c r="H46" s="133" t="s">
        <v>213</v>
      </c>
      <c r="I46" s="219" t="s">
        <v>327</v>
      </c>
      <c r="J46" s="133" t="s">
        <v>47</v>
      </c>
      <c r="T46" s="32"/>
      <c r="U46" s="140"/>
    </row>
    <row r="47" spans="2:21" x14ac:dyDescent="0.2">
      <c r="B47" s="133"/>
      <c r="C47" s="133"/>
      <c r="D47" s="133"/>
      <c r="E47" s="133"/>
      <c r="F47" s="133"/>
      <c r="G47" s="133"/>
      <c r="H47" s="133" t="s">
        <v>89</v>
      </c>
      <c r="I47" s="219" t="s">
        <v>328</v>
      </c>
      <c r="J47" s="133" t="s">
        <v>47</v>
      </c>
      <c r="T47" s="32"/>
      <c r="U47" s="140"/>
    </row>
    <row r="48" spans="2:21" x14ac:dyDescent="0.2">
      <c r="B48" s="133"/>
      <c r="C48" s="133"/>
      <c r="D48" s="133"/>
      <c r="E48" s="133"/>
      <c r="F48" s="133"/>
      <c r="G48" s="133"/>
      <c r="H48" s="133" t="s">
        <v>90</v>
      </c>
      <c r="I48" s="219" t="s">
        <v>329</v>
      </c>
      <c r="J48" s="133" t="s">
        <v>47</v>
      </c>
      <c r="T48" s="32"/>
      <c r="U48" s="140"/>
    </row>
    <row r="49" spans="2:21" x14ac:dyDescent="0.2">
      <c r="B49" s="133"/>
      <c r="C49" s="133"/>
      <c r="D49" s="133"/>
      <c r="E49" s="133"/>
      <c r="F49" s="133"/>
      <c r="G49" s="133"/>
      <c r="H49" s="133" t="s">
        <v>92</v>
      </c>
      <c r="I49" s="219" t="s">
        <v>330</v>
      </c>
      <c r="J49" s="133" t="s">
        <v>47</v>
      </c>
      <c r="T49" s="32"/>
      <c r="U49" s="140"/>
    </row>
    <row r="50" spans="2:21" x14ac:dyDescent="0.2">
      <c r="B50" s="133"/>
      <c r="C50" s="133"/>
      <c r="D50" s="133"/>
      <c r="E50" s="133"/>
      <c r="F50" s="133"/>
      <c r="G50" s="133"/>
      <c r="H50" s="133" t="s">
        <v>482</v>
      </c>
      <c r="I50" s="219" t="s">
        <v>331</v>
      </c>
      <c r="J50" s="133" t="s">
        <v>47</v>
      </c>
      <c r="T50" s="140"/>
      <c r="U50" s="32"/>
    </row>
    <row r="51" spans="2:21" x14ac:dyDescent="0.2">
      <c r="B51" s="133"/>
      <c r="C51" s="133"/>
      <c r="D51" s="133"/>
      <c r="E51" s="133"/>
      <c r="F51" s="133"/>
      <c r="G51" s="133"/>
      <c r="H51" s="133" t="s">
        <v>94</v>
      </c>
      <c r="I51" s="219" t="s">
        <v>332</v>
      </c>
      <c r="J51" s="133" t="s">
        <v>45</v>
      </c>
      <c r="T51" s="140"/>
      <c r="U51" s="32"/>
    </row>
    <row r="52" spans="2:21" x14ac:dyDescent="0.2">
      <c r="B52" s="133"/>
      <c r="C52" s="133"/>
      <c r="D52" s="133"/>
      <c r="E52" s="133"/>
      <c r="F52" s="133"/>
      <c r="G52" s="133"/>
      <c r="H52" s="133" t="s">
        <v>95</v>
      </c>
      <c r="I52" s="219" t="s">
        <v>333</v>
      </c>
      <c r="J52" s="133" t="s">
        <v>45</v>
      </c>
      <c r="T52" s="140"/>
      <c r="U52" s="32"/>
    </row>
    <row r="53" spans="2:21" x14ac:dyDescent="0.2">
      <c r="B53" s="133"/>
      <c r="C53" s="133"/>
      <c r="D53" s="133"/>
      <c r="E53" s="133"/>
      <c r="F53" s="133"/>
      <c r="G53" s="133"/>
      <c r="H53" s="133" t="s">
        <v>87</v>
      </c>
      <c r="I53" s="219" t="s">
        <v>334</v>
      </c>
      <c r="J53" s="133" t="s">
        <v>47</v>
      </c>
      <c r="T53" s="140"/>
      <c r="U53" s="32"/>
    </row>
    <row r="54" spans="2:21" x14ac:dyDescent="0.2">
      <c r="B54" s="133"/>
      <c r="C54" s="133"/>
      <c r="D54" s="133"/>
      <c r="E54" s="133"/>
      <c r="F54" s="133"/>
      <c r="G54" s="133"/>
      <c r="H54" s="133" t="s">
        <v>88</v>
      </c>
      <c r="I54" s="219" t="s">
        <v>335</v>
      </c>
      <c r="J54" s="133" t="s">
        <v>47</v>
      </c>
      <c r="T54" s="140"/>
      <c r="U54" s="32"/>
    </row>
    <row r="55" spans="2:21" x14ac:dyDescent="0.2">
      <c r="B55" s="133"/>
      <c r="C55" s="133"/>
      <c r="D55" s="133"/>
      <c r="E55" s="133"/>
      <c r="F55" s="133"/>
      <c r="G55" s="133"/>
      <c r="H55" s="133" t="s">
        <v>91</v>
      </c>
      <c r="I55" s="219" t="s">
        <v>336</v>
      </c>
      <c r="J55" s="133" t="s">
        <v>47</v>
      </c>
      <c r="T55" s="140"/>
      <c r="U55" s="32"/>
    </row>
    <row r="56" spans="2:21" x14ac:dyDescent="0.2">
      <c r="B56" s="133"/>
      <c r="C56" s="133"/>
      <c r="D56" s="133"/>
      <c r="E56" s="133"/>
      <c r="F56" s="133"/>
      <c r="G56" s="133"/>
      <c r="H56" s="133" t="s">
        <v>93</v>
      </c>
      <c r="I56" s="219" t="s">
        <v>337</v>
      </c>
      <c r="J56" s="133" t="s">
        <v>47</v>
      </c>
      <c r="T56" s="140"/>
      <c r="U56" s="32"/>
    </row>
    <row r="57" spans="2:21" x14ac:dyDescent="0.2">
      <c r="B57" s="133"/>
      <c r="C57" s="133"/>
      <c r="D57" s="133"/>
      <c r="E57" s="133"/>
      <c r="F57" s="133"/>
      <c r="G57" s="133"/>
      <c r="H57" s="133" t="s">
        <v>338</v>
      </c>
      <c r="I57" s="219" t="s">
        <v>339</v>
      </c>
      <c r="J57" s="133" t="s">
        <v>47</v>
      </c>
      <c r="T57" s="140"/>
      <c r="U57" s="32"/>
    </row>
    <row r="58" spans="2:21" x14ac:dyDescent="0.2">
      <c r="B58" s="133"/>
      <c r="C58" s="133"/>
      <c r="D58" s="133"/>
      <c r="E58" s="133"/>
      <c r="F58" s="133"/>
      <c r="G58" s="133"/>
      <c r="H58" s="133" t="s">
        <v>263</v>
      </c>
      <c r="I58" s="219" t="s">
        <v>465</v>
      </c>
      <c r="J58" s="133" t="s">
        <v>47</v>
      </c>
      <c r="T58" s="140"/>
      <c r="U58" s="32"/>
    </row>
    <row r="59" spans="2:21" x14ac:dyDescent="0.2">
      <c r="B59" s="271"/>
      <c r="C59" s="271"/>
      <c r="D59" s="271"/>
      <c r="E59" s="271"/>
      <c r="F59" s="271"/>
      <c r="G59" s="271"/>
      <c r="H59" s="133" t="s">
        <v>472</v>
      </c>
      <c r="I59" s="219" t="s">
        <v>471</v>
      </c>
      <c r="J59" s="133" t="s">
        <v>45</v>
      </c>
      <c r="T59" s="140"/>
      <c r="U59" s="32"/>
    </row>
    <row r="60" spans="2:21" x14ac:dyDescent="0.2">
      <c r="B60" s="133"/>
      <c r="C60" s="133"/>
      <c r="D60" s="133"/>
      <c r="E60" s="133"/>
      <c r="F60" s="133"/>
      <c r="G60" s="133"/>
      <c r="H60" s="133" t="s">
        <v>215</v>
      </c>
      <c r="I60" s="219" t="s">
        <v>340</v>
      </c>
      <c r="J60" s="133" t="s">
        <v>45</v>
      </c>
      <c r="T60" s="140"/>
      <c r="U60" s="32"/>
    </row>
    <row r="61" spans="2:21" x14ac:dyDescent="0.2">
      <c r="B61" s="133"/>
      <c r="C61" s="133"/>
      <c r="D61" s="133"/>
      <c r="E61" s="133"/>
      <c r="F61" s="133"/>
      <c r="G61" s="133"/>
      <c r="H61" s="133" t="s">
        <v>216</v>
      </c>
      <c r="I61" s="219" t="s">
        <v>341</v>
      </c>
      <c r="J61" s="133" t="s">
        <v>47</v>
      </c>
      <c r="T61" s="140"/>
      <c r="U61" s="32"/>
    </row>
    <row r="62" spans="2:21" x14ac:dyDescent="0.2">
      <c r="B62" s="133"/>
      <c r="C62" s="133"/>
      <c r="D62" s="133"/>
      <c r="E62" s="133"/>
      <c r="F62" s="133"/>
      <c r="G62" s="133"/>
      <c r="H62" s="133" t="s">
        <v>217</v>
      </c>
      <c r="I62" s="219" t="s">
        <v>342</v>
      </c>
      <c r="J62" s="133" t="s">
        <v>45</v>
      </c>
      <c r="T62" s="140"/>
      <c r="U62" s="32"/>
    </row>
    <row r="63" spans="2:21" x14ac:dyDescent="0.2">
      <c r="B63" s="133"/>
      <c r="C63" s="133"/>
      <c r="D63" s="133"/>
      <c r="E63" s="133"/>
      <c r="F63" s="133"/>
      <c r="G63" s="133"/>
      <c r="H63" s="133" t="s">
        <v>218</v>
      </c>
      <c r="I63" s="219" t="s">
        <v>297</v>
      </c>
      <c r="J63" s="133" t="s">
        <v>45</v>
      </c>
      <c r="T63" s="140"/>
      <c r="U63" s="32"/>
    </row>
    <row r="64" spans="2:21" x14ac:dyDescent="0.2">
      <c r="B64" s="133"/>
      <c r="C64" s="133"/>
      <c r="D64" s="133"/>
      <c r="E64" s="133"/>
      <c r="F64" s="133"/>
      <c r="G64" s="133"/>
      <c r="H64" s="133" t="s">
        <v>219</v>
      </c>
      <c r="I64" s="219" t="s">
        <v>343</v>
      </c>
      <c r="J64" s="133" t="s">
        <v>45</v>
      </c>
      <c r="T64" s="140"/>
      <c r="U64" s="32"/>
    </row>
    <row r="65" spans="2:21" x14ac:dyDescent="0.2">
      <c r="B65" s="133"/>
      <c r="C65" s="133"/>
      <c r="D65" s="133"/>
      <c r="E65" s="133"/>
      <c r="F65" s="133"/>
      <c r="G65" s="133"/>
      <c r="H65" s="133" t="s">
        <v>220</v>
      </c>
      <c r="I65" s="219" t="s">
        <v>344</v>
      </c>
      <c r="J65" s="133" t="s">
        <v>45</v>
      </c>
      <c r="T65" s="140"/>
      <c r="U65" s="32"/>
    </row>
    <row r="66" spans="2:21" x14ac:dyDescent="0.2">
      <c r="B66" s="133"/>
      <c r="C66" s="133"/>
      <c r="D66" s="133"/>
      <c r="E66" s="133"/>
      <c r="F66" s="133"/>
      <c r="G66" s="133"/>
      <c r="H66" s="133" t="s">
        <v>221</v>
      </c>
      <c r="I66" s="219" t="s">
        <v>345</v>
      </c>
      <c r="J66" s="133" t="s">
        <v>45</v>
      </c>
      <c r="T66" s="141"/>
      <c r="U66" s="65"/>
    </row>
    <row r="67" spans="2:21" x14ac:dyDescent="0.2">
      <c r="B67" s="133"/>
      <c r="C67" s="133"/>
      <c r="D67" s="133"/>
      <c r="E67" s="133"/>
      <c r="F67" s="133"/>
      <c r="G67" s="133"/>
      <c r="H67" s="133" t="s">
        <v>100</v>
      </c>
      <c r="I67" s="219" t="s">
        <v>346</v>
      </c>
      <c r="J67" s="133" t="s">
        <v>45</v>
      </c>
      <c r="T67" s="141"/>
      <c r="U67" s="65"/>
    </row>
    <row r="68" spans="2:21" x14ac:dyDescent="0.2">
      <c r="B68" s="133"/>
      <c r="C68" s="133"/>
      <c r="D68" s="133"/>
      <c r="E68" s="133"/>
      <c r="F68" s="133"/>
      <c r="G68" s="133"/>
      <c r="H68" s="133" t="s">
        <v>222</v>
      </c>
      <c r="I68" s="219" t="s">
        <v>347</v>
      </c>
      <c r="J68" s="133" t="s">
        <v>45</v>
      </c>
      <c r="T68" s="32"/>
      <c r="U68" s="32"/>
    </row>
    <row r="69" spans="2:21" x14ac:dyDescent="0.2">
      <c r="B69" s="133"/>
      <c r="C69" s="133"/>
      <c r="D69" s="133"/>
      <c r="E69" s="133"/>
      <c r="F69" s="133"/>
      <c r="G69" s="133"/>
      <c r="H69" s="133" t="s">
        <v>102</v>
      </c>
      <c r="I69" s="219" t="s">
        <v>348</v>
      </c>
      <c r="J69" s="133" t="s">
        <v>45</v>
      </c>
      <c r="T69" s="32"/>
      <c r="U69" s="32"/>
    </row>
    <row r="70" spans="2:21" x14ac:dyDescent="0.2">
      <c r="B70" s="133"/>
      <c r="C70" s="133"/>
      <c r="D70" s="133"/>
      <c r="E70" s="133"/>
      <c r="F70" s="133"/>
      <c r="G70" s="133"/>
      <c r="H70" s="133" t="s">
        <v>103</v>
      </c>
      <c r="I70" s="219" t="s">
        <v>349</v>
      </c>
      <c r="J70" s="133" t="s">
        <v>45</v>
      </c>
      <c r="T70" s="32"/>
      <c r="U70" s="140"/>
    </row>
    <row r="71" spans="2:21" x14ac:dyDescent="0.2">
      <c r="B71" s="133"/>
      <c r="C71" s="133"/>
      <c r="D71" s="133"/>
      <c r="E71" s="133"/>
      <c r="F71" s="133"/>
      <c r="G71" s="133"/>
      <c r="H71" s="133" t="s">
        <v>104</v>
      </c>
      <c r="I71" s="219" t="s">
        <v>350</v>
      </c>
      <c r="J71" s="133" t="s">
        <v>45</v>
      </c>
      <c r="T71" s="140"/>
      <c r="U71" s="32"/>
    </row>
    <row r="72" spans="2:21" x14ac:dyDescent="0.2">
      <c r="B72" s="133"/>
      <c r="C72" s="133"/>
      <c r="D72" s="133"/>
      <c r="E72" s="133"/>
      <c r="F72" s="133"/>
      <c r="G72" s="133"/>
      <c r="H72" s="133" t="s">
        <v>20</v>
      </c>
      <c r="I72" s="219" t="s">
        <v>351</v>
      </c>
      <c r="J72" s="133" t="s">
        <v>45</v>
      </c>
      <c r="T72" s="140"/>
      <c r="U72" s="32"/>
    </row>
    <row r="73" spans="2:21" x14ac:dyDescent="0.2">
      <c r="B73" s="133"/>
      <c r="C73" s="133"/>
      <c r="D73" s="133"/>
      <c r="E73" s="133"/>
      <c r="F73" s="133"/>
      <c r="G73" s="133"/>
      <c r="H73" s="133" t="s">
        <v>352</v>
      </c>
      <c r="I73" s="219" t="s">
        <v>353</v>
      </c>
      <c r="J73" s="133" t="s">
        <v>45</v>
      </c>
      <c r="T73" s="140"/>
      <c r="U73" s="32"/>
    </row>
    <row r="74" spans="2:21" x14ac:dyDescent="0.2">
      <c r="B74" s="133"/>
      <c r="C74" s="133"/>
      <c r="D74" s="133"/>
      <c r="E74" s="133"/>
      <c r="F74" s="133"/>
      <c r="G74" s="133"/>
      <c r="H74" s="133" t="s">
        <v>223</v>
      </c>
      <c r="I74" s="219" t="s">
        <v>354</v>
      </c>
      <c r="J74" s="133" t="s">
        <v>45</v>
      </c>
      <c r="T74" s="140"/>
      <c r="U74" s="32"/>
    </row>
    <row r="75" spans="2:21" x14ac:dyDescent="0.2">
      <c r="B75" s="133"/>
      <c r="C75" s="133"/>
      <c r="D75" s="133"/>
      <c r="E75" s="133"/>
      <c r="F75" s="133"/>
      <c r="G75" s="133"/>
      <c r="H75" s="133" t="s">
        <v>105</v>
      </c>
      <c r="I75" s="219" t="s">
        <v>355</v>
      </c>
      <c r="J75" s="133" t="s">
        <v>45</v>
      </c>
      <c r="T75" s="140"/>
      <c r="U75" s="32"/>
    </row>
    <row r="76" spans="2:21" x14ac:dyDescent="0.2">
      <c r="B76" s="133"/>
      <c r="C76" s="133"/>
      <c r="D76" s="133"/>
      <c r="E76" s="133"/>
      <c r="F76" s="133"/>
      <c r="G76" s="133"/>
      <c r="H76" s="133" t="s">
        <v>496</v>
      </c>
      <c r="I76" s="219" t="s">
        <v>356</v>
      </c>
      <c r="J76" s="133" t="s">
        <v>45</v>
      </c>
      <c r="T76" s="140"/>
      <c r="U76" s="32"/>
    </row>
    <row r="77" spans="2:21" x14ac:dyDescent="0.2">
      <c r="B77" s="133"/>
      <c r="C77" s="133"/>
      <c r="D77" s="133"/>
      <c r="E77" s="133"/>
      <c r="F77" s="133"/>
      <c r="G77" s="133"/>
      <c r="H77" s="133" t="s">
        <v>225</v>
      </c>
      <c r="I77" s="219" t="s">
        <v>357</v>
      </c>
      <c r="J77" s="133" t="s">
        <v>45</v>
      </c>
      <c r="T77" s="32"/>
      <c r="U77" s="32"/>
    </row>
    <row r="78" spans="2:21" x14ac:dyDescent="0.2">
      <c r="B78" s="133"/>
      <c r="C78" s="133"/>
      <c r="D78" s="133"/>
      <c r="E78" s="133"/>
      <c r="F78" s="133"/>
      <c r="G78" s="133"/>
      <c r="H78" s="133" t="s">
        <v>501</v>
      </c>
      <c r="I78" s="219" t="s">
        <v>358</v>
      </c>
      <c r="J78" s="133" t="s">
        <v>45</v>
      </c>
      <c r="T78" s="32"/>
      <c r="U78" s="32"/>
    </row>
    <row r="79" spans="2:21" x14ac:dyDescent="0.2">
      <c r="B79" s="133"/>
      <c r="C79" s="133"/>
      <c r="D79" s="133"/>
      <c r="E79" s="133"/>
      <c r="F79" s="133"/>
      <c r="G79" s="133"/>
      <c r="H79" s="133" t="s">
        <v>226</v>
      </c>
      <c r="I79" s="219" t="s">
        <v>359</v>
      </c>
      <c r="J79" s="133" t="s">
        <v>45</v>
      </c>
      <c r="T79" s="32"/>
      <c r="U79" s="32"/>
    </row>
    <row r="80" spans="2:21" x14ac:dyDescent="0.2">
      <c r="B80" s="133"/>
      <c r="C80" s="133"/>
      <c r="D80" s="133"/>
      <c r="E80" s="133"/>
      <c r="F80" s="133"/>
      <c r="G80" s="133"/>
      <c r="H80" s="133" t="s">
        <v>227</v>
      </c>
      <c r="I80" s="219" t="s">
        <v>360</v>
      </c>
      <c r="J80" s="133" t="s">
        <v>45</v>
      </c>
      <c r="T80" s="32"/>
      <c r="U80" s="32"/>
    </row>
    <row r="81" spans="1:21" x14ac:dyDescent="0.2">
      <c r="B81" s="133"/>
      <c r="C81" s="133"/>
      <c r="D81" s="133"/>
      <c r="E81" s="133"/>
      <c r="F81" s="133"/>
      <c r="G81" s="133"/>
      <c r="H81" s="133" t="s">
        <v>111</v>
      </c>
      <c r="I81" s="219" t="s">
        <v>361</v>
      </c>
      <c r="J81" s="133" t="s">
        <v>45</v>
      </c>
      <c r="T81" s="32"/>
      <c r="U81" s="32"/>
    </row>
    <row r="82" spans="1:21" x14ac:dyDescent="0.2">
      <c r="B82" s="133"/>
      <c r="C82" s="133"/>
      <c r="D82" s="133"/>
      <c r="E82" s="133"/>
      <c r="F82" s="133"/>
      <c r="G82" s="133"/>
      <c r="H82" s="133" t="s">
        <v>228</v>
      </c>
      <c r="I82" s="219" t="s">
        <v>362</v>
      </c>
      <c r="J82" s="133" t="s">
        <v>45</v>
      </c>
      <c r="T82" s="32"/>
      <c r="U82" s="32"/>
    </row>
    <row r="83" spans="1:21" x14ac:dyDescent="0.2">
      <c r="B83" s="133"/>
      <c r="C83" s="133"/>
      <c r="D83" s="133"/>
      <c r="E83" s="133"/>
      <c r="F83" s="133"/>
      <c r="G83" s="133"/>
      <c r="H83" s="133" t="s">
        <v>113</v>
      </c>
      <c r="I83" s="219" t="s">
        <v>363</v>
      </c>
      <c r="J83" s="133" t="s">
        <v>45</v>
      </c>
      <c r="T83" s="32"/>
      <c r="U83" s="32"/>
    </row>
    <row r="84" spans="1:21" x14ac:dyDescent="0.2">
      <c r="B84" s="133"/>
      <c r="C84" s="133"/>
      <c r="D84" s="133"/>
      <c r="E84" s="133"/>
      <c r="F84" s="133"/>
      <c r="G84" s="133"/>
      <c r="H84" s="133" t="s">
        <v>117</v>
      </c>
      <c r="I84" s="219" t="s">
        <v>364</v>
      </c>
      <c r="J84" s="133" t="s">
        <v>45</v>
      </c>
      <c r="T84" s="32"/>
      <c r="U84" s="32"/>
    </row>
    <row r="85" spans="1:21" x14ac:dyDescent="0.2">
      <c r="B85" s="133"/>
      <c r="C85" s="133"/>
      <c r="D85" s="133"/>
      <c r="E85" s="133"/>
      <c r="F85" s="133"/>
      <c r="G85" s="133"/>
      <c r="H85" s="133" t="s">
        <v>106</v>
      </c>
      <c r="I85" s="219" t="s">
        <v>365</v>
      </c>
      <c r="J85" s="133" t="s">
        <v>45</v>
      </c>
      <c r="T85" s="32"/>
      <c r="U85" s="32"/>
    </row>
    <row r="86" spans="1:21" x14ac:dyDescent="0.2">
      <c r="B86" s="133"/>
      <c r="C86" s="133"/>
      <c r="D86" s="133"/>
      <c r="E86" s="133"/>
      <c r="F86" s="133"/>
      <c r="G86" s="133"/>
      <c r="H86" s="133" t="s">
        <v>107</v>
      </c>
      <c r="I86" s="219" t="s">
        <v>366</v>
      </c>
      <c r="J86" s="133" t="s">
        <v>45</v>
      </c>
      <c r="T86" s="32"/>
      <c r="U86" s="32"/>
    </row>
    <row r="87" spans="1:21" x14ac:dyDescent="0.2">
      <c r="B87" s="133"/>
      <c r="C87" s="133"/>
      <c r="D87" s="133"/>
      <c r="E87" s="133"/>
      <c r="F87" s="133"/>
      <c r="G87" s="133"/>
      <c r="H87" s="133" t="s">
        <v>108</v>
      </c>
      <c r="I87" s="219" t="s">
        <v>367</v>
      </c>
      <c r="J87" s="133" t="s">
        <v>45</v>
      </c>
      <c r="T87" s="32"/>
      <c r="U87" s="32"/>
    </row>
    <row r="88" spans="1:21" x14ac:dyDescent="0.2">
      <c r="B88" s="133"/>
      <c r="C88" s="133"/>
      <c r="D88" s="133"/>
      <c r="E88" s="133"/>
      <c r="F88" s="133"/>
      <c r="G88" s="133"/>
      <c r="H88" s="133" t="s">
        <v>268</v>
      </c>
      <c r="I88" s="219" t="s">
        <v>368</v>
      </c>
      <c r="J88" s="133" t="s">
        <v>45</v>
      </c>
      <c r="T88" s="32"/>
      <c r="U88" s="32"/>
    </row>
    <row r="89" spans="1:21" x14ac:dyDescent="0.2">
      <c r="B89" s="133"/>
      <c r="C89" s="133"/>
      <c r="D89" s="133"/>
      <c r="E89" s="133"/>
      <c r="F89" s="133"/>
      <c r="G89" s="133"/>
      <c r="H89" s="133" t="s">
        <v>269</v>
      </c>
      <c r="I89" s="219" t="s">
        <v>369</v>
      </c>
      <c r="J89" s="133" t="s">
        <v>45</v>
      </c>
      <c r="T89" s="32"/>
      <c r="U89" s="32"/>
    </row>
    <row r="90" spans="1:21" x14ac:dyDescent="0.2">
      <c r="B90" s="133"/>
      <c r="C90" s="133"/>
      <c r="D90" s="133"/>
      <c r="E90" s="133"/>
      <c r="F90" s="133"/>
      <c r="G90" s="133"/>
      <c r="H90" s="133" t="s">
        <v>112</v>
      </c>
      <c r="I90" s="219" t="s">
        <v>370</v>
      </c>
      <c r="J90" s="133" t="s">
        <v>45</v>
      </c>
      <c r="T90" s="140"/>
      <c r="U90" s="140"/>
    </row>
    <row r="91" spans="1:21" x14ac:dyDescent="0.2">
      <c r="B91" s="133"/>
      <c r="C91" s="133"/>
      <c r="D91" s="133"/>
      <c r="E91" s="133"/>
      <c r="F91" s="133"/>
      <c r="G91" s="133"/>
      <c r="H91" s="133" t="s">
        <v>109</v>
      </c>
      <c r="I91" s="219" t="s">
        <v>371</v>
      </c>
      <c r="J91" s="133" t="s">
        <v>45</v>
      </c>
      <c r="T91" s="140"/>
      <c r="U91" s="140"/>
    </row>
    <row r="92" spans="1:21" x14ac:dyDescent="0.2">
      <c r="B92" s="133"/>
      <c r="C92" s="133"/>
      <c r="D92" s="133"/>
      <c r="E92" s="133"/>
      <c r="F92" s="133"/>
      <c r="G92" s="133"/>
      <c r="H92" s="133" t="s">
        <v>110</v>
      </c>
      <c r="I92" s="219" t="s">
        <v>372</v>
      </c>
      <c r="J92" s="133" t="s">
        <v>45</v>
      </c>
      <c r="T92" s="140"/>
      <c r="U92" s="140"/>
    </row>
    <row r="93" spans="1:21" x14ac:dyDescent="0.2">
      <c r="B93" s="133"/>
      <c r="C93" s="133"/>
      <c r="D93" s="133"/>
      <c r="E93" s="133"/>
      <c r="F93" s="133"/>
      <c r="G93" s="133"/>
      <c r="H93" s="133" t="s">
        <v>114</v>
      </c>
      <c r="I93" s="219" t="s">
        <v>373</v>
      </c>
      <c r="J93" s="133" t="s">
        <v>45</v>
      </c>
      <c r="T93" s="140"/>
      <c r="U93" s="140"/>
    </row>
    <row r="94" spans="1:21" x14ac:dyDescent="0.2">
      <c r="B94" s="133"/>
      <c r="C94" s="133"/>
      <c r="D94" s="133"/>
      <c r="E94" s="133"/>
      <c r="F94" s="133"/>
      <c r="G94" s="133"/>
      <c r="H94" s="133" t="s">
        <v>115</v>
      </c>
      <c r="I94" s="219">
        <v>1120</v>
      </c>
      <c r="J94" s="133" t="s">
        <v>47</v>
      </c>
      <c r="T94" s="140"/>
      <c r="U94" s="140"/>
    </row>
    <row r="95" spans="1:21" x14ac:dyDescent="0.2">
      <c r="B95" s="133"/>
      <c r="C95" s="133"/>
      <c r="D95" s="133"/>
      <c r="E95" s="133"/>
      <c r="F95" s="133"/>
      <c r="G95" s="133"/>
      <c r="H95" s="133" t="s">
        <v>116</v>
      </c>
      <c r="I95" s="219">
        <v>1121</v>
      </c>
      <c r="J95" s="133" t="s">
        <v>47</v>
      </c>
      <c r="T95" s="140"/>
      <c r="U95" s="140"/>
    </row>
    <row r="96" spans="1:21" x14ac:dyDescent="0.2">
      <c r="A96" s="142"/>
      <c r="B96" s="133"/>
      <c r="C96" s="133"/>
      <c r="D96" s="133"/>
      <c r="E96" s="133"/>
      <c r="F96" s="133"/>
      <c r="G96" s="133"/>
      <c r="H96" s="133" t="s">
        <v>374</v>
      </c>
      <c r="I96" s="219" t="s">
        <v>375</v>
      </c>
      <c r="J96" s="133" t="s">
        <v>45</v>
      </c>
      <c r="T96" s="140"/>
      <c r="U96" s="140"/>
    </row>
    <row r="97" spans="2:21" x14ac:dyDescent="0.2">
      <c r="B97" s="133"/>
      <c r="C97" s="133"/>
      <c r="D97" s="133"/>
      <c r="E97" s="133"/>
      <c r="F97" s="133"/>
      <c r="G97" s="133"/>
      <c r="H97" s="133" t="s">
        <v>376</v>
      </c>
      <c r="I97" s="219" t="s">
        <v>377</v>
      </c>
      <c r="J97" s="133" t="s">
        <v>45</v>
      </c>
      <c r="T97" s="140"/>
      <c r="U97" s="140"/>
    </row>
    <row r="98" spans="2:21" x14ac:dyDescent="0.2">
      <c r="B98" s="133"/>
      <c r="C98" s="133"/>
      <c r="D98" s="133"/>
      <c r="E98" s="133"/>
      <c r="F98" s="133"/>
      <c r="G98" s="133"/>
      <c r="H98" s="133" t="s">
        <v>378</v>
      </c>
      <c r="I98" s="219" t="s">
        <v>379</v>
      </c>
      <c r="J98" s="133" t="s">
        <v>45</v>
      </c>
    </row>
    <row r="99" spans="2:21" x14ac:dyDescent="0.2">
      <c r="B99" s="133"/>
      <c r="C99" s="133"/>
      <c r="D99" s="133"/>
      <c r="E99" s="133"/>
      <c r="F99" s="133"/>
      <c r="G99" s="133"/>
      <c r="H99" s="133" t="s">
        <v>380</v>
      </c>
      <c r="I99" s="219" t="s">
        <v>381</v>
      </c>
      <c r="J99" s="133" t="s">
        <v>45</v>
      </c>
    </row>
    <row r="100" spans="2:21" x14ac:dyDescent="0.2">
      <c r="B100" s="133"/>
      <c r="C100" s="133"/>
      <c r="D100" s="133"/>
      <c r="E100" s="133"/>
      <c r="F100" s="133"/>
      <c r="G100" s="133"/>
      <c r="H100" s="133" t="s">
        <v>382</v>
      </c>
      <c r="I100" s="219" t="s">
        <v>383</v>
      </c>
      <c r="J100" s="133" t="s">
        <v>45</v>
      </c>
    </row>
    <row r="101" spans="2:21" x14ac:dyDescent="0.2">
      <c r="B101" s="133"/>
      <c r="C101" s="133"/>
      <c r="D101" s="133"/>
      <c r="E101" s="133"/>
      <c r="F101" s="133"/>
      <c r="G101" s="133"/>
      <c r="H101" s="133" t="s">
        <v>240</v>
      </c>
      <c r="I101" s="219" t="s">
        <v>384</v>
      </c>
      <c r="J101" s="133" t="s">
        <v>45</v>
      </c>
    </row>
    <row r="102" spans="2:21" x14ac:dyDescent="0.2">
      <c r="B102" s="133"/>
      <c r="C102" s="133"/>
      <c r="D102" s="133"/>
      <c r="E102" s="133"/>
      <c r="F102" s="133"/>
      <c r="G102" s="133"/>
      <c r="H102" s="133" t="s">
        <v>385</v>
      </c>
      <c r="I102" s="219" t="s">
        <v>386</v>
      </c>
      <c r="J102" s="133"/>
    </row>
    <row r="103" spans="2:21" x14ac:dyDescent="0.2">
      <c r="B103" s="133"/>
      <c r="C103" s="133"/>
      <c r="D103" s="133"/>
      <c r="E103" s="133"/>
      <c r="F103" s="133"/>
      <c r="G103" s="133"/>
      <c r="H103" s="133" t="s">
        <v>387</v>
      </c>
      <c r="I103" s="219" t="s">
        <v>388</v>
      </c>
      <c r="J103" s="133"/>
    </row>
    <row r="104" spans="2:21" x14ac:dyDescent="0.2">
      <c r="B104" s="133"/>
      <c r="C104" s="133"/>
      <c r="D104" s="133"/>
      <c r="E104" s="133"/>
      <c r="F104" s="133"/>
      <c r="G104" s="133"/>
      <c r="H104" s="133" t="s">
        <v>389</v>
      </c>
      <c r="I104" s="219" t="s">
        <v>390</v>
      </c>
      <c r="J104" s="133"/>
    </row>
    <row r="105" spans="2:21" x14ac:dyDescent="0.2">
      <c r="B105" s="133"/>
      <c r="C105" s="133"/>
      <c r="D105" s="133"/>
      <c r="E105" s="133"/>
      <c r="F105" s="133"/>
      <c r="G105" s="133"/>
      <c r="H105" s="133" t="s">
        <v>391</v>
      </c>
      <c r="I105" s="219" t="s">
        <v>392</v>
      </c>
      <c r="J105" s="133"/>
    </row>
    <row r="106" spans="2:21" x14ac:dyDescent="0.2">
      <c r="B106" s="133"/>
      <c r="C106" s="133"/>
      <c r="D106" s="133"/>
      <c r="E106" s="133"/>
      <c r="F106" s="133"/>
      <c r="G106" s="133"/>
      <c r="H106" s="133" t="s">
        <v>264</v>
      </c>
      <c r="I106" s="219" t="s">
        <v>466</v>
      </c>
      <c r="J106" s="133" t="s">
        <v>45</v>
      </c>
    </row>
    <row r="107" spans="2:21" x14ac:dyDescent="0.2">
      <c r="B107" s="133"/>
      <c r="C107" s="133"/>
      <c r="D107" s="133"/>
      <c r="E107" s="133"/>
      <c r="F107" s="133"/>
      <c r="G107" s="133"/>
      <c r="H107" s="133" t="s">
        <v>119</v>
      </c>
      <c r="I107" s="219" t="s">
        <v>393</v>
      </c>
      <c r="J107" s="133" t="s">
        <v>47</v>
      </c>
    </row>
    <row r="108" spans="2:21" x14ac:dyDescent="0.2">
      <c r="B108" s="133"/>
      <c r="C108" s="133"/>
      <c r="D108" s="133"/>
      <c r="E108" s="133"/>
      <c r="F108" s="133"/>
      <c r="G108" s="133"/>
      <c r="H108" s="133" t="s">
        <v>121</v>
      </c>
      <c r="I108" s="219" t="s">
        <v>394</v>
      </c>
      <c r="J108" s="133" t="s">
        <v>47</v>
      </c>
    </row>
    <row r="109" spans="2:21" x14ac:dyDescent="0.2">
      <c r="B109" s="133"/>
      <c r="C109" s="133"/>
      <c r="D109" s="133"/>
      <c r="E109" s="133"/>
      <c r="F109" s="133"/>
      <c r="G109" s="133"/>
      <c r="H109" s="133" t="s">
        <v>122</v>
      </c>
      <c r="I109" s="219" t="s">
        <v>395</v>
      </c>
      <c r="J109" s="133" t="s">
        <v>47</v>
      </c>
    </row>
    <row r="110" spans="2:21" x14ac:dyDescent="0.2">
      <c r="B110" s="133"/>
      <c r="C110" s="133"/>
      <c r="D110" s="133"/>
      <c r="E110" s="133"/>
      <c r="F110" s="133"/>
      <c r="G110" s="133"/>
      <c r="H110" s="133" t="s">
        <v>124</v>
      </c>
      <c r="I110" s="219" t="s">
        <v>396</v>
      </c>
      <c r="J110" s="133" t="s">
        <v>47</v>
      </c>
    </row>
    <row r="111" spans="2:21" x14ac:dyDescent="0.2">
      <c r="B111" s="133"/>
      <c r="C111" s="133"/>
      <c r="D111" s="133"/>
      <c r="E111" s="133"/>
      <c r="F111" s="133"/>
      <c r="G111" s="133"/>
      <c r="H111" s="133" t="s">
        <v>125</v>
      </c>
      <c r="I111" s="219" t="s">
        <v>397</v>
      </c>
      <c r="J111" s="133" t="s">
        <v>47</v>
      </c>
    </row>
    <row r="112" spans="2:21" x14ac:dyDescent="0.2">
      <c r="B112" s="133"/>
      <c r="C112" s="133"/>
      <c r="D112" s="133"/>
      <c r="E112" s="133"/>
      <c r="F112" s="133"/>
      <c r="G112" s="133"/>
      <c r="H112" s="133" t="s">
        <v>502</v>
      </c>
      <c r="I112" s="219" t="s">
        <v>398</v>
      </c>
      <c r="J112" s="133" t="s">
        <v>47</v>
      </c>
    </row>
    <row r="113" spans="2:10" x14ac:dyDescent="0.2">
      <c r="B113" s="133"/>
      <c r="C113" s="133"/>
      <c r="D113" s="133"/>
      <c r="E113" s="133"/>
      <c r="F113" s="133"/>
      <c r="G113" s="133"/>
      <c r="H113" s="133" t="s">
        <v>127</v>
      </c>
      <c r="I113" s="219" t="s">
        <v>399</v>
      </c>
      <c r="J113" s="133" t="s">
        <v>47</v>
      </c>
    </row>
    <row r="114" spans="2:10" x14ac:dyDescent="0.2">
      <c r="B114" s="133"/>
      <c r="C114" s="133"/>
      <c r="D114" s="133"/>
      <c r="E114" s="133"/>
      <c r="F114" s="133"/>
      <c r="G114" s="133"/>
      <c r="H114" s="133" t="s">
        <v>128</v>
      </c>
      <c r="I114" s="219">
        <v>1107</v>
      </c>
      <c r="J114" s="133" t="s">
        <v>47</v>
      </c>
    </row>
    <row r="115" spans="2:10" x14ac:dyDescent="0.2">
      <c r="B115" s="133"/>
      <c r="C115" s="133"/>
      <c r="D115" s="133"/>
      <c r="E115" s="133"/>
      <c r="F115" s="133"/>
      <c r="G115" s="133"/>
      <c r="H115" s="133" t="s">
        <v>130</v>
      </c>
      <c r="I115" s="219">
        <v>1108</v>
      </c>
      <c r="J115" s="133" t="s">
        <v>47</v>
      </c>
    </row>
    <row r="116" spans="2:10" x14ac:dyDescent="0.2">
      <c r="B116" s="133"/>
      <c r="C116" s="133"/>
      <c r="D116" s="133"/>
      <c r="E116" s="133"/>
      <c r="F116" s="133"/>
      <c r="G116" s="133"/>
      <c r="H116" s="133" t="s">
        <v>131</v>
      </c>
      <c r="I116" s="219" t="s">
        <v>400</v>
      </c>
      <c r="J116" s="133" t="s">
        <v>45</v>
      </c>
    </row>
    <row r="117" spans="2:10" x14ac:dyDescent="0.2">
      <c r="B117" s="133"/>
      <c r="C117" s="133"/>
      <c r="D117" s="133"/>
      <c r="E117" s="133"/>
      <c r="F117" s="133"/>
      <c r="G117" s="133"/>
      <c r="H117" s="133" t="s">
        <v>133</v>
      </c>
      <c r="I117" s="219" t="s">
        <v>401</v>
      </c>
      <c r="J117" s="133" t="s">
        <v>45</v>
      </c>
    </row>
    <row r="118" spans="2:10" x14ac:dyDescent="0.2">
      <c r="B118" s="133"/>
      <c r="C118" s="133"/>
      <c r="D118" s="133"/>
      <c r="E118" s="133"/>
      <c r="F118" s="133"/>
      <c r="G118" s="133"/>
      <c r="H118" s="133" t="s">
        <v>134</v>
      </c>
      <c r="I118" s="219" t="s">
        <v>402</v>
      </c>
      <c r="J118" s="133" t="s">
        <v>45</v>
      </c>
    </row>
    <row r="119" spans="2:10" x14ac:dyDescent="0.2">
      <c r="B119" s="133"/>
      <c r="C119" s="133"/>
      <c r="D119" s="133"/>
      <c r="E119" s="133"/>
      <c r="F119" s="133"/>
      <c r="G119" s="133"/>
      <c r="H119" s="133" t="s">
        <v>181</v>
      </c>
      <c r="I119" s="219" t="s">
        <v>403</v>
      </c>
      <c r="J119" s="133" t="s">
        <v>45</v>
      </c>
    </row>
    <row r="120" spans="2:10" x14ac:dyDescent="0.2">
      <c r="B120" s="133"/>
      <c r="C120" s="133"/>
      <c r="D120" s="133"/>
      <c r="E120" s="133"/>
      <c r="F120" s="133"/>
      <c r="G120" s="133"/>
      <c r="H120" s="133" t="s">
        <v>120</v>
      </c>
      <c r="I120" s="219" t="s">
        <v>404</v>
      </c>
      <c r="J120" s="133" t="s">
        <v>47</v>
      </c>
    </row>
    <row r="121" spans="2:10" x14ac:dyDescent="0.2">
      <c r="B121" s="133"/>
      <c r="C121" s="133"/>
      <c r="D121" s="133"/>
      <c r="E121" s="133"/>
      <c r="F121" s="133"/>
      <c r="G121" s="133"/>
      <c r="H121" s="133" t="s">
        <v>229</v>
      </c>
      <c r="I121" s="219" t="s">
        <v>405</v>
      </c>
      <c r="J121" s="133" t="s">
        <v>47</v>
      </c>
    </row>
    <row r="122" spans="2:10" x14ac:dyDescent="0.2">
      <c r="B122" s="133"/>
      <c r="C122" s="133"/>
      <c r="D122" s="133"/>
      <c r="E122" s="133"/>
      <c r="F122" s="133"/>
      <c r="G122" s="133"/>
      <c r="H122" s="133" t="s">
        <v>129</v>
      </c>
      <c r="I122" s="219" t="s">
        <v>406</v>
      </c>
      <c r="J122" s="133" t="s">
        <v>47</v>
      </c>
    </row>
    <row r="123" spans="2:10" x14ac:dyDescent="0.2">
      <c r="B123" s="133"/>
      <c r="C123" s="133"/>
      <c r="D123" s="133"/>
      <c r="E123" s="133"/>
      <c r="F123" s="133"/>
      <c r="G123" s="133"/>
      <c r="H123" s="133" t="s">
        <v>483</v>
      </c>
      <c r="I123" s="219" t="s">
        <v>407</v>
      </c>
      <c r="J123" s="133" t="s">
        <v>47</v>
      </c>
    </row>
    <row r="124" spans="2:10" x14ac:dyDescent="0.2">
      <c r="B124" s="133"/>
      <c r="C124" s="133"/>
      <c r="D124" s="133"/>
      <c r="E124" s="133"/>
      <c r="F124" s="133"/>
      <c r="G124" s="133"/>
      <c r="H124" s="133" t="s">
        <v>135</v>
      </c>
      <c r="I124" s="219" t="s">
        <v>408</v>
      </c>
      <c r="J124" s="133" t="s">
        <v>45</v>
      </c>
    </row>
    <row r="125" spans="2:10" x14ac:dyDescent="0.2">
      <c r="B125" s="133"/>
      <c r="C125" s="133"/>
      <c r="D125" s="133"/>
      <c r="E125" s="133"/>
      <c r="F125" s="133"/>
      <c r="G125" s="133"/>
      <c r="H125" s="133" t="s">
        <v>132</v>
      </c>
      <c r="I125" s="219" t="s">
        <v>409</v>
      </c>
      <c r="J125" s="133" t="s">
        <v>45</v>
      </c>
    </row>
    <row r="126" spans="2:10" x14ac:dyDescent="0.2">
      <c r="B126" s="133"/>
      <c r="C126" s="133"/>
      <c r="D126" s="133"/>
      <c r="E126" s="133"/>
      <c r="F126" s="133"/>
      <c r="G126" s="133"/>
      <c r="H126" s="133" t="s">
        <v>410</v>
      </c>
      <c r="I126" s="219" t="s">
        <v>411</v>
      </c>
      <c r="J126" s="133" t="s">
        <v>47</v>
      </c>
    </row>
    <row r="127" spans="2:10" x14ac:dyDescent="0.2">
      <c r="B127" s="133"/>
      <c r="C127" s="133"/>
      <c r="D127" s="133"/>
      <c r="E127" s="133"/>
      <c r="F127" s="133"/>
      <c r="G127" s="133"/>
      <c r="H127" s="133" t="s">
        <v>412</v>
      </c>
      <c r="I127" s="219" t="s">
        <v>413</v>
      </c>
      <c r="J127" s="133" t="s">
        <v>47</v>
      </c>
    </row>
    <row r="128" spans="2:10" x14ac:dyDescent="0.2">
      <c r="B128" s="133"/>
      <c r="C128" s="133"/>
      <c r="D128" s="133"/>
      <c r="E128" s="133"/>
      <c r="F128" s="133"/>
      <c r="G128" s="133"/>
      <c r="H128" s="133" t="s">
        <v>414</v>
      </c>
      <c r="I128" s="219" t="s">
        <v>415</v>
      </c>
      <c r="J128" s="133" t="s">
        <v>45</v>
      </c>
    </row>
    <row r="129" spans="2:10" x14ac:dyDescent="0.2">
      <c r="B129" s="133"/>
      <c r="C129" s="133"/>
      <c r="D129" s="133"/>
      <c r="E129" s="133"/>
      <c r="F129" s="133"/>
      <c r="G129" s="133"/>
      <c r="H129" s="133" t="s">
        <v>270</v>
      </c>
      <c r="I129" s="219" t="s">
        <v>468</v>
      </c>
      <c r="J129" s="133" t="s">
        <v>45</v>
      </c>
    </row>
    <row r="130" spans="2:10" x14ac:dyDescent="0.2">
      <c r="B130" s="133"/>
      <c r="C130" s="133"/>
      <c r="D130" s="133"/>
      <c r="E130" s="133"/>
      <c r="F130" s="133"/>
      <c r="G130" s="133"/>
      <c r="H130" s="133" t="s">
        <v>272</v>
      </c>
      <c r="I130" s="219" t="s">
        <v>469</v>
      </c>
      <c r="J130" s="133" t="s">
        <v>45</v>
      </c>
    </row>
    <row r="131" spans="2:10" x14ac:dyDescent="0.2">
      <c r="B131" s="133"/>
      <c r="C131" s="133"/>
      <c r="D131" s="133"/>
      <c r="E131" s="133"/>
      <c r="F131" s="133"/>
      <c r="G131" s="133"/>
      <c r="H131" s="133" t="s">
        <v>140</v>
      </c>
      <c r="I131" s="219" t="s">
        <v>416</v>
      </c>
      <c r="J131" s="133" t="s">
        <v>45</v>
      </c>
    </row>
    <row r="132" spans="2:10" x14ac:dyDescent="0.2">
      <c r="B132" s="133"/>
      <c r="C132" s="133"/>
      <c r="D132" s="133"/>
      <c r="E132" s="133"/>
      <c r="F132" s="133"/>
      <c r="G132" s="133"/>
      <c r="H132" s="133" t="s">
        <v>141</v>
      </c>
      <c r="I132" s="219" t="s">
        <v>417</v>
      </c>
      <c r="J132" s="133" t="s">
        <v>45</v>
      </c>
    </row>
    <row r="133" spans="2:10" x14ac:dyDescent="0.2">
      <c r="B133" s="133"/>
      <c r="C133" s="133"/>
      <c r="D133" s="133"/>
      <c r="E133" s="133"/>
      <c r="F133" s="133"/>
      <c r="G133" s="133"/>
      <c r="H133" s="133" t="s">
        <v>142</v>
      </c>
      <c r="I133" s="219" t="s">
        <v>418</v>
      </c>
      <c r="J133" s="133" t="s">
        <v>45</v>
      </c>
    </row>
    <row r="134" spans="2:10" x14ac:dyDescent="0.2">
      <c r="B134" s="133"/>
      <c r="C134" s="133"/>
      <c r="D134" s="133"/>
      <c r="E134" s="133"/>
      <c r="F134" s="133"/>
      <c r="G134" s="133"/>
      <c r="H134" s="133" t="s">
        <v>143</v>
      </c>
      <c r="I134" s="219" t="s">
        <v>419</v>
      </c>
      <c r="J134" s="133" t="s">
        <v>45</v>
      </c>
    </row>
    <row r="135" spans="2:10" x14ac:dyDescent="0.2">
      <c r="B135" s="133"/>
      <c r="C135" s="133"/>
      <c r="D135" s="133"/>
      <c r="E135" s="133"/>
      <c r="F135" s="133"/>
      <c r="G135" s="133"/>
      <c r="H135" s="133" t="s">
        <v>144</v>
      </c>
      <c r="I135" s="219" t="s">
        <v>420</v>
      </c>
      <c r="J135" s="133" t="s">
        <v>45</v>
      </c>
    </row>
    <row r="136" spans="2:10" x14ac:dyDescent="0.2">
      <c r="B136" s="133"/>
      <c r="C136" s="133"/>
      <c r="D136" s="133"/>
      <c r="E136" s="133"/>
      <c r="F136" s="133"/>
      <c r="G136" s="133"/>
      <c r="H136" s="133" t="s">
        <v>184</v>
      </c>
      <c r="I136" s="219" t="s">
        <v>421</v>
      </c>
      <c r="J136" s="133" t="s">
        <v>45</v>
      </c>
    </row>
    <row r="137" spans="2:10" x14ac:dyDescent="0.2">
      <c r="B137" s="133"/>
      <c r="C137" s="133"/>
      <c r="D137" s="133"/>
      <c r="E137" s="133"/>
      <c r="F137" s="133"/>
      <c r="G137" s="133"/>
      <c r="H137" s="133" t="s">
        <v>422</v>
      </c>
      <c r="I137" s="219" t="s">
        <v>423</v>
      </c>
      <c r="J137" s="133" t="s">
        <v>45</v>
      </c>
    </row>
    <row r="138" spans="2:10" x14ac:dyDescent="0.2">
      <c r="B138" s="133"/>
      <c r="C138" s="133"/>
      <c r="D138" s="133"/>
      <c r="E138" s="133"/>
      <c r="F138" s="133"/>
      <c r="G138" s="133"/>
      <c r="H138" s="133" t="s">
        <v>29</v>
      </c>
      <c r="I138" s="219" t="s">
        <v>424</v>
      </c>
      <c r="J138" s="133"/>
    </row>
    <row r="139" spans="2:10" x14ac:dyDescent="0.2">
      <c r="B139" s="133"/>
      <c r="C139" s="133"/>
      <c r="D139" s="133"/>
      <c r="E139" s="133"/>
      <c r="F139" s="133"/>
      <c r="G139" s="133"/>
      <c r="H139" s="133" t="s">
        <v>425</v>
      </c>
      <c r="I139" s="219" t="s">
        <v>426</v>
      </c>
      <c r="J139" s="133"/>
    </row>
    <row r="140" spans="2:10" x14ac:dyDescent="0.2">
      <c r="B140" s="133"/>
      <c r="C140" s="133"/>
      <c r="D140" s="133"/>
      <c r="E140" s="133"/>
      <c r="F140" s="133"/>
      <c r="G140" s="133"/>
      <c r="H140" s="133" t="s">
        <v>427</v>
      </c>
      <c r="I140" s="219">
        <v>1001</v>
      </c>
      <c r="J140" s="133"/>
    </row>
    <row r="141" spans="2:10" x14ac:dyDescent="0.2">
      <c r="B141" s="133"/>
      <c r="C141" s="133"/>
      <c r="D141" s="133"/>
      <c r="E141" s="133"/>
      <c r="F141" s="133"/>
      <c r="G141" s="133"/>
      <c r="H141" s="133" t="s">
        <v>428</v>
      </c>
      <c r="I141" s="219">
        <v>1002</v>
      </c>
      <c r="J141" s="133"/>
    </row>
    <row r="142" spans="2:10" x14ac:dyDescent="0.2">
      <c r="B142" s="133"/>
      <c r="C142" s="133"/>
      <c r="D142" s="133"/>
      <c r="E142" s="133"/>
      <c r="F142" s="133"/>
      <c r="G142" s="133"/>
      <c r="H142" s="224" t="s">
        <v>429</v>
      </c>
      <c r="I142" s="219">
        <v>1003</v>
      </c>
      <c r="J142" s="133"/>
    </row>
    <row r="143" spans="2:10" x14ac:dyDescent="0.2">
      <c r="B143" s="133"/>
      <c r="C143" s="133"/>
      <c r="D143" s="133"/>
      <c r="E143" s="133"/>
      <c r="F143" s="133"/>
      <c r="G143" s="133"/>
      <c r="H143" s="224" t="s">
        <v>430</v>
      </c>
      <c r="I143" s="219">
        <v>1004</v>
      </c>
      <c r="J143" s="133"/>
    </row>
    <row r="144" spans="2:10" x14ac:dyDescent="0.2">
      <c r="B144" s="133"/>
      <c r="C144" s="133"/>
      <c r="D144" s="133"/>
      <c r="E144" s="133"/>
      <c r="F144" s="133"/>
      <c r="G144" s="133"/>
      <c r="H144" s="224" t="s">
        <v>431</v>
      </c>
      <c r="I144" s="219">
        <v>1005</v>
      </c>
      <c r="J144" s="133"/>
    </row>
    <row r="145" spans="2:10" x14ac:dyDescent="0.2">
      <c r="B145" s="133"/>
      <c r="C145" s="133"/>
      <c r="D145" s="133"/>
      <c r="E145" s="133"/>
      <c r="F145" s="133"/>
      <c r="G145" s="133"/>
      <c r="H145" s="224" t="s">
        <v>432</v>
      </c>
      <c r="I145" s="219">
        <v>1006</v>
      </c>
      <c r="J145" s="133"/>
    </row>
    <row r="146" spans="2:10" x14ac:dyDescent="0.2">
      <c r="B146" s="133"/>
      <c r="C146" s="133"/>
      <c r="D146" s="133"/>
      <c r="E146" s="133"/>
      <c r="F146" s="133"/>
      <c r="G146" s="133"/>
      <c r="H146" s="224" t="s">
        <v>433</v>
      </c>
      <c r="I146" s="219">
        <v>1007</v>
      </c>
      <c r="J146" s="133"/>
    </row>
    <row r="147" spans="2:10" x14ac:dyDescent="0.2">
      <c r="B147" s="133"/>
      <c r="C147" s="133"/>
      <c r="D147" s="133"/>
      <c r="E147" s="133"/>
      <c r="F147" s="133"/>
      <c r="G147" s="133"/>
      <c r="H147" s="224" t="s">
        <v>434</v>
      </c>
      <c r="I147" s="219">
        <v>1008</v>
      </c>
      <c r="J147" s="133"/>
    </row>
    <row r="148" spans="2:10" x14ac:dyDescent="0.2">
      <c r="B148" s="133"/>
      <c r="C148" s="133"/>
      <c r="D148" s="133"/>
      <c r="E148" s="133"/>
      <c r="F148" s="133"/>
      <c r="G148" s="133"/>
      <c r="H148" s="224" t="s">
        <v>435</v>
      </c>
      <c r="I148" s="219">
        <v>1009</v>
      </c>
      <c r="J148" s="133"/>
    </row>
    <row r="149" spans="2:10" x14ac:dyDescent="0.2">
      <c r="B149" s="133"/>
      <c r="C149" s="133"/>
      <c r="D149" s="133"/>
      <c r="E149" s="133"/>
      <c r="F149" s="133"/>
      <c r="G149" s="133"/>
      <c r="H149" s="224" t="s">
        <v>436</v>
      </c>
      <c r="I149" s="219">
        <v>1010</v>
      </c>
      <c r="J149" s="133"/>
    </row>
    <row r="150" spans="2:10" x14ac:dyDescent="0.2">
      <c r="B150" s="133"/>
      <c r="C150" s="133"/>
      <c r="D150" s="133"/>
      <c r="E150" s="133"/>
      <c r="F150" s="133"/>
      <c r="G150" s="133"/>
      <c r="H150" s="224" t="s">
        <v>437</v>
      </c>
      <c r="I150" s="219">
        <v>1011</v>
      </c>
      <c r="J150" s="133"/>
    </row>
    <row r="151" spans="2:10" x14ac:dyDescent="0.2">
      <c r="B151" s="133"/>
      <c r="C151" s="133"/>
      <c r="D151" s="133"/>
      <c r="E151" s="133"/>
      <c r="F151" s="133"/>
      <c r="G151" s="133"/>
      <c r="H151" s="224" t="s">
        <v>438</v>
      </c>
      <c r="I151" s="219">
        <v>1012</v>
      </c>
      <c r="J151" s="133"/>
    </row>
    <row r="152" spans="2:10" x14ac:dyDescent="0.2">
      <c r="B152" s="133"/>
      <c r="C152" s="133"/>
      <c r="D152" s="133"/>
      <c r="E152" s="133"/>
      <c r="F152" s="133"/>
      <c r="G152" s="133"/>
      <c r="H152" s="224" t="s">
        <v>439</v>
      </c>
      <c r="I152" s="219">
        <v>1013</v>
      </c>
      <c r="J152" s="133"/>
    </row>
    <row r="153" spans="2:10" x14ac:dyDescent="0.2">
      <c r="B153" s="133"/>
      <c r="C153" s="133"/>
      <c r="D153" s="133"/>
      <c r="E153" s="133"/>
      <c r="F153" s="133"/>
      <c r="G153" s="133"/>
      <c r="H153" s="224" t="s">
        <v>440</v>
      </c>
      <c r="I153" s="219">
        <v>1014</v>
      </c>
      <c r="J153" s="133"/>
    </row>
    <row r="154" spans="2:10" x14ac:dyDescent="0.2">
      <c r="B154" s="133"/>
      <c r="C154" s="133"/>
      <c r="D154" s="133"/>
      <c r="E154" s="133"/>
      <c r="F154" s="133"/>
      <c r="G154" s="133"/>
      <c r="H154" s="224" t="s">
        <v>441</v>
      </c>
      <c r="I154" s="219">
        <v>1015</v>
      </c>
      <c r="J154" s="133"/>
    </row>
    <row r="155" spans="2:10" x14ac:dyDescent="0.2">
      <c r="B155" s="133"/>
      <c r="C155" s="133"/>
      <c r="D155" s="133"/>
      <c r="E155" s="133"/>
      <c r="F155" s="133"/>
      <c r="G155" s="133"/>
      <c r="H155" s="224" t="s">
        <v>442</v>
      </c>
      <c r="I155" s="219">
        <v>1016</v>
      </c>
      <c r="J155" s="133"/>
    </row>
    <row r="156" spans="2:10" x14ac:dyDescent="0.2">
      <c r="B156" s="133"/>
      <c r="C156" s="133"/>
      <c r="D156" s="133"/>
      <c r="E156" s="133"/>
      <c r="F156" s="133"/>
      <c r="G156" s="133"/>
      <c r="H156" s="224" t="s">
        <v>443</v>
      </c>
      <c r="I156" s="219">
        <v>1017</v>
      </c>
      <c r="J156" s="133"/>
    </row>
    <row r="157" spans="2:10" x14ac:dyDescent="0.2">
      <c r="B157" s="133"/>
      <c r="C157" s="133"/>
      <c r="D157" s="133"/>
      <c r="E157" s="133"/>
      <c r="F157" s="133"/>
      <c r="G157" s="133"/>
      <c r="H157" s="224" t="s">
        <v>444</v>
      </c>
      <c r="I157" s="219">
        <v>1018</v>
      </c>
      <c r="J157" s="133"/>
    </row>
    <row r="158" spans="2:10" x14ac:dyDescent="0.2">
      <c r="B158" s="133"/>
      <c r="C158" s="133"/>
      <c r="D158" s="133"/>
      <c r="E158" s="133"/>
      <c r="F158" s="133"/>
      <c r="G158" s="133"/>
      <c r="H158" s="224" t="s">
        <v>445</v>
      </c>
      <c r="I158" s="219">
        <v>1019</v>
      </c>
      <c r="J158" s="133"/>
    </row>
    <row r="159" spans="2:10" x14ac:dyDescent="0.2">
      <c r="B159" s="133"/>
      <c r="C159" s="133"/>
      <c r="D159" s="133"/>
      <c r="E159" s="133"/>
      <c r="F159" s="133"/>
      <c r="G159" s="133"/>
      <c r="H159" s="224" t="s">
        <v>446</v>
      </c>
      <c r="I159" s="219">
        <v>1020</v>
      </c>
      <c r="J159" s="133"/>
    </row>
    <row r="160" spans="2:10" x14ac:dyDescent="0.2">
      <c r="B160" s="133"/>
      <c r="C160" s="133"/>
      <c r="D160" s="133"/>
      <c r="E160" s="133"/>
      <c r="F160" s="133"/>
      <c r="G160" s="133"/>
      <c r="H160" s="224" t="s">
        <v>447</v>
      </c>
      <c r="I160" s="219">
        <v>1021</v>
      </c>
      <c r="J160" s="133"/>
    </row>
    <row r="161" spans="2:10" x14ac:dyDescent="0.2">
      <c r="B161" s="133"/>
      <c r="C161" s="133"/>
      <c r="D161" s="133"/>
      <c r="E161" s="133"/>
      <c r="F161" s="133"/>
      <c r="G161" s="133"/>
      <c r="H161" s="224" t="s">
        <v>448</v>
      </c>
      <c r="I161" s="219">
        <v>1022</v>
      </c>
      <c r="J161" s="133"/>
    </row>
    <row r="162" spans="2:10" x14ac:dyDescent="0.2">
      <c r="B162" s="133"/>
      <c r="C162" s="133"/>
      <c r="D162" s="133"/>
      <c r="E162" s="133"/>
      <c r="F162" s="133"/>
      <c r="G162" s="133"/>
      <c r="H162" s="224" t="s">
        <v>449</v>
      </c>
      <c r="I162" s="219">
        <v>1023</v>
      </c>
      <c r="J162" s="133"/>
    </row>
    <row r="163" spans="2:10" x14ac:dyDescent="0.2">
      <c r="B163" s="133"/>
      <c r="C163" s="133"/>
      <c r="D163" s="133"/>
      <c r="E163" s="133"/>
      <c r="F163" s="133"/>
      <c r="G163" s="133"/>
      <c r="H163" s="224" t="s">
        <v>450</v>
      </c>
      <c r="I163" s="219">
        <v>1024</v>
      </c>
      <c r="J163" s="133"/>
    </row>
    <row r="164" spans="2:10" x14ac:dyDescent="0.2">
      <c r="B164" s="133"/>
      <c r="C164" s="133"/>
      <c r="D164" s="133"/>
      <c r="E164" s="133"/>
      <c r="F164" s="133"/>
      <c r="G164" s="133"/>
      <c r="H164" s="224" t="s">
        <v>451</v>
      </c>
      <c r="I164" s="219">
        <v>1025</v>
      </c>
      <c r="J164" s="133"/>
    </row>
    <row r="165" spans="2:10" x14ac:dyDescent="0.2">
      <c r="B165" s="133"/>
      <c r="C165" s="133"/>
      <c r="D165" s="133"/>
      <c r="E165" s="133"/>
      <c r="F165" s="133"/>
      <c r="G165" s="133"/>
      <c r="H165" s="224" t="s">
        <v>452</v>
      </c>
      <c r="I165" s="219">
        <v>1026</v>
      </c>
      <c r="J165" s="133"/>
    </row>
    <row r="166" spans="2:10" x14ac:dyDescent="0.2">
      <c r="B166" s="133"/>
      <c r="C166" s="133"/>
      <c r="D166" s="133"/>
      <c r="E166" s="133"/>
      <c r="F166" s="133"/>
      <c r="G166" s="133"/>
      <c r="H166" s="224" t="s">
        <v>453</v>
      </c>
      <c r="I166" s="219">
        <v>1027</v>
      </c>
      <c r="J166" s="133"/>
    </row>
    <row r="167" spans="2:10" x14ac:dyDescent="0.2">
      <c r="B167" s="133"/>
      <c r="C167" s="133"/>
      <c r="D167" s="133"/>
      <c r="E167" s="133"/>
      <c r="F167" s="133"/>
      <c r="G167" s="133"/>
      <c r="H167" s="224" t="s">
        <v>454</v>
      </c>
      <c r="I167" s="219">
        <v>1028</v>
      </c>
      <c r="J167" s="133"/>
    </row>
    <row r="168" spans="2:10" x14ac:dyDescent="0.2">
      <c r="B168" s="133"/>
      <c r="C168" s="133"/>
      <c r="D168" s="133"/>
      <c r="E168" s="133"/>
      <c r="F168" s="133"/>
      <c r="G168" s="133"/>
      <c r="H168" s="224" t="s">
        <v>206</v>
      </c>
      <c r="I168" s="219">
        <v>1029</v>
      </c>
      <c r="J168" s="133"/>
    </row>
    <row r="169" spans="2:10" x14ac:dyDescent="0.2">
      <c r="B169" s="133"/>
      <c r="C169" s="133"/>
      <c r="D169" s="133"/>
      <c r="E169" s="133"/>
      <c r="F169" s="133"/>
      <c r="G169" s="133"/>
      <c r="H169" s="224" t="s">
        <v>455</v>
      </c>
      <c r="I169" s="219">
        <v>1030</v>
      </c>
      <c r="J169" s="133"/>
    </row>
    <row r="170" spans="2:10" x14ac:dyDescent="0.2">
      <c r="B170" s="133"/>
      <c r="C170" s="133"/>
      <c r="D170" s="133"/>
      <c r="E170" s="133"/>
      <c r="F170" s="133"/>
      <c r="G170" s="133"/>
      <c r="H170" s="224" t="s">
        <v>456</v>
      </c>
      <c r="I170" s="219">
        <v>1031</v>
      </c>
      <c r="J170" s="133"/>
    </row>
    <row r="171" spans="2:10" x14ac:dyDescent="0.2">
      <c r="B171" s="133"/>
      <c r="C171" s="133"/>
      <c r="D171" s="133"/>
      <c r="E171" s="133"/>
      <c r="F171" s="133"/>
      <c r="G171" s="133"/>
      <c r="H171" s="224" t="s">
        <v>457</v>
      </c>
      <c r="I171" s="219">
        <v>1032</v>
      </c>
      <c r="J171" s="133"/>
    </row>
    <row r="172" spans="2:10" x14ac:dyDescent="0.2">
      <c r="B172" s="133"/>
      <c r="C172" s="133"/>
      <c r="D172" s="133"/>
      <c r="E172" s="133"/>
      <c r="F172" s="133"/>
      <c r="G172" s="133"/>
      <c r="H172" s="224" t="s">
        <v>458</v>
      </c>
      <c r="I172" s="219">
        <v>1033</v>
      </c>
      <c r="J172" s="133"/>
    </row>
    <row r="173" spans="2:10" x14ac:dyDescent="0.2">
      <c r="B173" s="133"/>
      <c r="C173" s="133"/>
      <c r="D173" s="133"/>
      <c r="E173" s="133"/>
      <c r="F173" s="133"/>
      <c r="G173" s="133"/>
      <c r="H173" s="224" t="s">
        <v>459</v>
      </c>
      <c r="I173" s="219">
        <v>1034</v>
      </c>
      <c r="J173" s="133"/>
    </row>
    <row r="174" spans="2:10" x14ac:dyDescent="0.2">
      <c r="B174" s="133"/>
      <c r="C174" s="133"/>
      <c r="D174" s="133"/>
      <c r="E174" s="133"/>
      <c r="F174" s="133"/>
      <c r="G174" s="133"/>
      <c r="H174" s="224" t="s">
        <v>460</v>
      </c>
      <c r="I174" s="219">
        <v>1035</v>
      </c>
      <c r="J174" s="133"/>
    </row>
    <row r="175" spans="2:10" x14ac:dyDescent="0.2">
      <c r="B175" s="133"/>
      <c r="C175" s="133"/>
      <c r="D175" s="133"/>
      <c r="E175" s="133"/>
      <c r="F175" s="133"/>
      <c r="G175" s="133"/>
      <c r="H175" s="133" t="s">
        <v>461</v>
      </c>
      <c r="I175" s="219">
        <v>1036</v>
      </c>
      <c r="J175" s="133"/>
    </row>
    <row r="176" spans="2:10" x14ac:dyDescent="0.2">
      <c r="B176" s="133"/>
      <c r="C176" s="133"/>
      <c r="D176" s="133"/>
      <c r="E176" s="133"/>
      <c r="F176" s="133"/>
      <c r="G176" s="133"/>
      <c r="H176" s="133" t="s">
        <v>500</v>
      </c>
      <c r="I176" s="219">
        <v>1100</v>
      </c>
      <c r="J176" s="133" t="s">
        <v>45</v>
      </c>
    </row>
  </sheetData>
  <sheetProtection selectLockedCells="1"/>
  <protectedRanges>
    <protectedRange sqref="H148 H173:H174" name="טווח1_9_1_1"/>
  </protectedRange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מדריך למשתמש</vt:lpstr>
      <vt:lpstr>תקציב</vt:lpstr>
      <vt:lpstr>סיכום</vt:lpstr>
      <vt:lpstr>יחידות_מידה_הלבשה</vt:lpstr>
      <vt:lpstr>יחידות_מידה_טיסות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IPBC User</dc:creator>
  <cp:lastModifiedBy>Michal Wintroib</cp:lastModifiedBy>
  <cp:lastPrinted>2018-11-18T09:37:05Z</cp:lastPrinted>
  <dcterms:created xsi:type="dcterms:W3CDTF">2016-09-20T13:57:54Z</dcterms:created>
  <dcterms:modified xsi:type="dcterms:W3CDTF">2020-01-23T08:13:33Z</dcterms:modified>
</cp:coreProperties>
</file>